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PUNTO CONSULTA SECCIONAL (Enero.2023)\INFOR_ADICIONAL\INDICADORES_MEDICIONES\Resultados de indicadores\"/>
    </mc:Choice>
  </mc:AlternateContent>
  <xr:revisionPtr revIDLastSave="0" documentId="13_ncr:1_{4B9829CF-A0C4-4B34-81C4-03608EA7CA66}" xr6:coauthVersionLast="47" xr6:coauthVersionMax="47" xr10:uidLastSave="{00000000-0000-0000-0000-000000000000}"/>
  <bookViews>
    <workbookView xWindow="-120" yWindow="-120" windowWidth="20730" windowHeight="11160" tabRatio="1000" xr2:uid="{00000000-000D-0000-FFFF-FFFF00000000}"/>
  </bookViews>
  <sheets>
    <sheet name="indicadores 2022" sheetId="20" r:id="rId1"/>
  </sheets>
  <externalReferences>
    <externalReference r:id="rId2"/>
  </externalReferences>
  <definedNames>
    <definedName name="A" localSheetId="0">#REF!</definedName>
    <definedName name="A">#REF!</definedName>
    <definedName name="_xlnm.Print_Area" localSheetId="0">'indicadores 2022'!$A$1:$S$115</definedName>
    <definedName name="k">'[1]entrada datos'!$CY$6</definedName>
    <definedName name="l">'[1]entrada datos'!$CY$7</definedName>
    <definedName name="m">'[1]entrada datos'!$CY$8</definedName>
    <definedName name="n">'[1]entrada datos'!$CY$9</definedName>
    <definedName name="tAREAS">'[1]entrada datos'!$CY$8</definedName>
    <definedName name="_xlnm.Print_Titles" localSheetId="0">'indicadores 2022'!$A$2:$IW$6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3" i="20" l="1"/>
  <c r="Q52" i="20"/>
  <c r="Q51" i="20"/>
  <c r="V149" i="20"/>
  <c r="Q147" i="20"/>
  <c r="X146" i="20"/>
  <c r="N107" i="20"/>
  <c r="O107" i="20"/>
  <c r="P107" i="20"/>
  <c r="P105" i="20"/>
  <c r="O105" i="20"/>
  <c r="K119" i="20"/>
  <c r="E119" i="20"/>
  <c r="P94" i="20"/>
  <c r="N68" i="20"/>
  <c r="E67" i="20"/>
  <c r="E49" i="20"/>
  <c r="E48" i="20"/>
  <c r="E42" i="20"/>
  <c r="E35" i="20"/>
  <c r="K15" i="20"/>
  <c r="K14" i="20"/>
  <c r="K130" i="20"/>
  <c r="K133" i="20"/>
  <c r="K120" i="20"/>
  <c r="K9" i="20"/>
  <c r="E123" i="20"/>
  <c r="K123" i="20"/>
  <c r="E125" i="20"/>
  <c r="Q125" i="20" s="1"/>
  <c r="E124" i="20"/>
  <c r="N101" i="20"/>
  <c r="O101" i="20"/>
  <c r="P101" i="20"/>
  <c r="N94" i="20"/>
  <c r="O94" i="20"/>
  <c r="N60" i="20"/>
  <c r="O60" i="20"/>
  <c r="P60" i="20"/>
  <c r="N58" i="20"/>
  <c r="O58" i="20"/>
  <c r="P58" i="20"/>
  <c r="N56" i="20"/>
  <c r="O56" i="20"/>
  <c r="P56" i="20"/>
  <c r="N54" i="20"/>
  <c r="K41" i="20"/>
  <c r="K40" i="20"/>
  <c r="K39" i="20"/>
  <c r="K38" i="20"/>
  <c r="K8" i="20"/>
  <c r="K10" i="20"/>
  <c r="E137" i="20"/>
  <c r="Q137" i="20" s="1"/>
  <c r="Q139" i="20"/>
  <c r="Q138" i="20"/>
  <c r="Q135" i="20"/>
  <c r="Q134" i="20"/>
  <c r="Q130" i="20"/>
  <c r="Q129" i="20"/>
  <c r="Q128" i="20"/>
  <c r="Q127" i="20"/>
  <c r="Q126" i="20"/>
  <c r="Q124" i="20"/>
  <c r="Q123" i="20"/>
  <c r="Q100" i="20"/>
  <c r="Q96" i="20"/>
  <c r="Q92" i="20"/>
  <c r="Q91" i="20"/>
  <c r="Q86" i="20"/>
  <c r="Q85" i="20"/>
  <c r="Q83" i="20"/>
  <c r="Q82" i="20"/>
  <c r="Q81" i="20"/>
  <c r="Q80" i="20"/>
  <c r="Q79" i="20"/>
  <c r="Q78" i="20"/>
  <c r="Q77" i="20"/>
  <c r="Q76" i="20"/>
  <c r="Q75" i="20"/>
  <c r="Q67" i="20"/>
  <c r="Q66" i="20"/>
  <c r="Q65" i="20"/>
  <c r="Q64" i="20"/>
  <c r="Q63" i="20"/>
  <c r="Q62" i="20"/>
  <c r="Q49" i="20"/>
  <c r="Q48" i="20"/>
  <c r="Q47" i="20"/>
  <c r="Q42" i="20"/>
  <c r="Q37" i="20"/>
  <c r="Q36" i="20"/>
  <c r="Q35" i="20"/>
  <c r="Q34" i="20"/>
  <c r="Q33" i="20"/>
  <c r="Q32" i="20"/>
  <c r="Q31" i="20"/>
  <c r="Q30" i="20"/>
  <c r="Q29" i="20"/>
  <c r="Q28" i="20"/>
  <c r="Q27" i="20"/>
  <c r="Q26" i="20"/>
  <c r="Q25" i="20"/>
  <c r="Q23" i="20"/>
  <c r="Q21" i="20"/>
  <c r="Q20" i="20"/>
  <c r="S24" i="20"/>
  <c r="R24" i="20"/>
  <c r="S23" i="20"/>
  <c r="R23" i="20"/>
  <c r="S22" i="20"/>
  <c r="R22" i="20"/>
  <c r="S21" i="20"/>
  <c r="R21" i="20"/>
  <c r="S20" i="20"/>
  <c r="R20" i="20"/>
  <c r="Q13" i="20"/>
  <c r="Q12" i="20"/>
  <c r="Q11" i="20"/>
  <c r="E50" i="20"/>
  <c r="Q50" i="20"/>
  <c r="E46" i="20"/>
  <c r="K46" i="20"/>
  <c r="Q46" i="20"/>
  <c r="E45" i="20"/>
  <c r="Q45" i="20" s="1"/>
  <c r="K45" i="20"/>
  <c r="K44" i="20"/>
  <c r="Q44" i="20" s="1"/>
  <c r="E44" i="20"/>
  <c r="K146" i="20"/>
  <c r="K145" i="20"/>
  <c r="K144" i="20"/>
  <c r="K143" i="20"/>
  <c r="E141" i="20"/>
  <c r="Q141" i="20" s="1"/>
  <c r="K132" i="20"/>
  <c r="Q132" i="20" s="1"/>
  <c r="K131" i="20"/>
  <c r="E136" i="20"/>
  <c r="Q136" i="20" s="1"/>
  <c r="K122" i="20"/>
  <c r="Q122" i="20"/>
  <c r="K121" i="20"/>
  <c r="Q121" i="20" s="1"/>
  <c r="N117" i="20"/>
  <c r="O117" i="20"/>
  <c r="P117" i="20"/>
  <c r="E116" i="20"/>
  <c r="Q116" i="20" s="1"/>
  <c r="K115" i="20"/>
  <c r="E114" i="20"/>
  <c r="Q114" i="20" s="1"/>
  <c r="K113" i="20"/>
  <c r="X24" i="20"/>
  <c r="K24" i="20"/>
  <c r="E22" i="20"/>
  <c r="Q22" i="20" s="1"/>
  <c r="O17" i="20"/>
  <c r="P17" i="20"/>
  <c r="K16" i="20"/>
  <c r="M101" i="20"/>
  <c r="L101" i="20"/>
  <c r="K101" i="20"/>
  <c r="K102" i="20" s="1"/>
  <c r="J101" i="20"/>
  <c r="E102" i="20" s="1"/>
  <c r="I101" i="20"/>
  <c r="H101" i="20"/>
  <c r="G101" i="20"/>
  <c r="F101" i="20"/>
  <c r="E101" i="20"/>
  <c r="Q101" i="20" s="1"/>
  <c r="N103" i="20"/>
  <c r="O103" i="20"/>
  <c r="P103" i="20"/>
  <c r="K97" i="20"/>
  <c r="E97" i="20"/>
  <c r="E95" i="20"/>
  <c r="K93" i="20"/>
  <c r="E93" i="20"/>
  <c r="N17" i="20"/>
  <c r="K68" i="20"/>
  <c r="M117" i="20"/>
  <c r="K118" i="20" s="1"/>
  <c r="K107" i="20"/>
  <c r="K108" i="20" s="1"/>
  <c r="L107" i="20"/>
  <c r="M107" i="20"/>
  <c r="K105" i="20"/>
  <c r="L105" i="20"/>
  <c r="K106" i="20" s="1"/>
  <c r="M105" i="20"/>
  <c r="N105" i="20"/>
  <c r="M103" i="20"/>
  <c r="K94" i="20"/>
  <c r="K95" i="20" s="1"/>
  <c r="L94" i="20"/>
  <c r="M94" i="20"/>
  <c r="Q94" i="20"/>
  <c r="E89" i="20"/>
  <c r="E90" i="20" s="1"/>
  <c r="Q90" i="20" s="1"/>
  <c r="K87" i="20"/>
  <c r="H89" i="20"/>
  <c r="K89" i="20"/>
  <c r="K54" i="20"/>
  <c r="K55" i="20"/>
  <c r="H54" i="20"/>
  <c r="E54" i="20"/>
  <c r="Q54" i="20" s="1"/>
  <c r="L56" i="20"/>
  <c r="L58" i="20"/>
  <c r="M58" i="20"/>
  <c r="L60" i="20"/>
  <c r="M60" i="20"/>
  <c r="M56" i="20"/>
  <c r="M17" i="20"/>
  <c r="E55" i="20"/>
  <c r="L117" i="20"/>
  <c r="K103" i="20"/>
  <c r="L103" i="20"/>
  <c r="K104" i="20" s="1"/>
  <c r="L17" i="20"/>
  <c r="K18" i="20" s="1"/>
  <c r="I107" i="20"/>
  <c r="H107" i="20"/>
  <c r="G107" i="20"/>
  <c r="F107" i="20"/>
  <c r="H98" i="20"/>
  <c r="J98" i="20"/>
  <c r="K98" i="20"/>
  <c r="Q98" i="20" s="1"/>
  <c r="E99" i="20"/>
  <c r="K117" i="20"/>
  <c r="E142" i="20"/>
  <c r="Q142" i="20"/>
  <c r="E140" i="20"/>
  <c r="Q140" i="20" s="1"/>
  <c r="E133" i="20"/>
  <c r="Q133" i="20"/>
  <c r="E131" i="20"/>
  <c r="Q131" i="20"/>
  <c r="E121" i="20"/>
  <c r="E120" i="20"/>
  <c r="Q120" i="20" s="1"/>
  <c r="J60" i="20"/>
  <c r="K60" i="20"/>
  <c r="K61" i="20" s="1"/>
  <c r="K58" i="20"/>
  <c r="K59" i="20" s="1"/>
  <c r="K56" i="20"/>
  <c r="K57" i="20"/>
  <c r="E145" i="20"/>
  <c r="Q145" i="20" s="1"/>
  <c r="E146" i="20"/>
  <c r="Q146" i="20" s="1"/>
  <c r="E144" i="20"/>
  <c r="Q144" i="20" s="1"/>
  <c r="E143" i="20"/>
  <c r="Q143" i="20"/>
  <c r="H87" i="20"/>
  <c r="E87" i="20"/>
  <c r="Q87" i="20"/>
  <c r="I60" i="20"/>
  <c r="J56" i="20"/>
  <c r="I56" i="20"/>
  <c r="J58" i="20"/>
  <c r="I58" i="20"/>
  <c r="E84" i="20"/>
  <c r="Q84" i="20" s="1"/>
  <c r="E115" i="20"/>
  <c r="Q115" i="20" s="1"/>
  <c r="E113" i="20"/>
  <c r="Q113" i="20" s="1"/>
  <c r="J107" i="20"/>
  <c r="E107" i="20"/>
  <c r="Q107" i="20" s="1"/>
  <c r="H105" i="20"/>
  <c r="G105" i="20"/>
  <c r="F105" i="20"/>
  <c r="E106" i="20" s="1"/>
  <c r="E105" i="20"/>
  <c r="I105" i="20"/>
  <c r="J105" i="20"/>
  <c r="E103" i="20"/>
  <c r="F103" i="20"/>
  <c r="Q103" i="20" s="1"/>
  <c r="G103" i="20"/>
  <c r="H103" i="20"/>
  <c r="I103" i="20"/>
  <c r="J103" i="20"/>
  <c r="K90" i="20"/>
  <c r="K69" i="20"/>
  <c r="K88" i="20"/>
  <c r="E88" i="20"/>
  <c r="E104" i="20"/>
  <c r="H68" i="20"/>
  <c r="K17" i="20"/>
  <c r="E15" i="20"/>
  <c r="Q15" i="20"/>
  <c r="E9" i="20"/>
  <c r="Q9" i="20"/>
  <c r="E14" i="20"/>
  <c r="Q14" i="20" s="1"/>
  <c r="E74" i="20"/>
  <c r="Q74" i="20"/>
  <c r="E68" i="20"/>
  <c r="E69" i="20" s="1"/>
  <c r="F60" i="20"/>
  <c r="G60" i="20"/>
  <c r="H60" i="20"/>
  <c r="F58" i="20"/>
  <c r="E59" i="20" s="1"/>
  <c r="G58" i="20"/>
  <c r="H58" i="20"/>
  <c r="E39" i="20"/>
  <c r="Q39" i="20" s="1"/>
  <c r="E40" i="20"/>
  <c r="Q40" i="20" s="1"/>
  <c r="F56" i="20"/>
  <c r="G56" i="20"/>
  <c r="H56" i="20"/>
  <c r="E41" i="20"/>
  <c r="Q41" i="20"/>
  <c r="E38" i="20"/>
  <c r="Q38" i="20"/>
  <c r="E24" i="20"/>
  <c r="Q24" i="20" s="1"/>
  <c r="G17" i="20"/>
  <c r="H17" i="20"/>
  <c r="I17" i="20"/>
  <c r="J17" i="20"/>
  <c r="E16" i="20"/>
  <c r="Q16" i="20"/>
  <c r="E8" i="20"/>
  <c r="Q8" i="20" s="1"/>
  <c r="E10" i="20"/>
  <c r="Q10" i="20" s="1"/>
  <c r="Q119" i="20"/>
  <c r="J117" i="20"/>
  <c r="I117" i="20"/>
  <c r="H117" i="20"/>
  <c r="G117" i="20"/>
  <c r="F117" i="20"/>
  <c r="Q117" i="20" s="1"/>
  <c r="E117" i="20"/>
  <c r="E118" i="20" s="1"/>
  <c r="E60" i="20"/>
  <c r="E61" i="20"/>
  <c r="E58" i="20"/>
  <c r="E56" i="20"/>
  <c r="E57" i="20" s="1"/>
  <c r="F17" i="20"/>
  <c r="E18" i="20" s="1"/>
  <c r="E17" i="20"/>
  <c r="Q17" i="20"/>
  <c r="AB130" i="20"/>
  <c r="AC130" i="20"/>
  <c r="Y130" i="20"/>
  <c r="Y131" i="20" s="1"/>
  <c r="Z130" i="20"/>
  <c r="X134" i="20"/>
  <c r="Q112" i="20"/>
  <c r="Q111" i="20"/>
  <c r="Q110" i="20"/>
  <c r="Q109" i="20"/>
  <c r="Q73" i="20"/>
  <c r="Q72" i="20"/>
  <c r="Q71" i="20"/>
  <c r="Q70" i="20"/>
  <c r="Q19" i="20"/>
  <c r="Q7" i="20"/>
  <c r="Q58" i="20" l="1"/>
  <c r="Q60" i="20"/>
  <c r="Q105" i="20"/>
  <c r="Q56" i="20"/>
  <c r="K99" i="20"/>
  <c r="Q89" i="20"/>
  <c r="Q68" i="20"/>
  <c r="E10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Gloria Amparo Sanchez</author>
    <author>Gloria A. Sanchez M.</author>
    <author>Gloria A</author>
    <author>Docente</author>
  </authors>
  <commentList>
    <comment ref="D8" authorId="0" shapeId="0" xr:uid="{00000000-0006-0000-0000-000001000000}">
      <text>
        <r>
          <rPr>
            <b/>
            <sz val="12"/>
            <color indexed="81"/>
            <rFont val="Tahoma"/>
            <family val="2"/>
          </rPr>
          <t>Gloria Amparo Sanchez:</t>
        </r>
        <r>
          <rPr>
            <sz val="12"/>
            <color indexed="81"/>
            <rFont val="Tahoma"/>
            <family val="2"/>
          </rPr>
          <t xml:space="preserve">
Monitorear el cumplimiento del acuerdo de servicio de elaboración y entrega oportuna de las certificaciones y constancias Académicas</t>
        </r>
      </text>
    </comment>
    <comment ref="E8" authorId="1" shapeId="0" xr:uid="{00000000-0006-0000-0000-000002000000}">
      <text>
        <r>
          <rPr>
            <b/>
            <sz val="12"/>
            <color indexed="81"/>
            <rFont val="Tahoma"/>
            <family val="2"/>
          </rPr>
          <t>Gloria A. Sanchez M.:</t>
        </r>
        <r>
          <rPr>
            <sz val="12"/>
            <color indexed="81"/>
            <rFont val="Tahoma"/>
            <family val="2"/>
          </rPr>
          <t xml:space="preserve">
Para el período 2022-1 se generaron 1481 certificados, de los cuales se entregaron dentro de los plazos establecidos 1476, se cumplió con la meta, obteniendo un resultado seccional del 99.66%. Los 5 que no fueron generados dentro de los plazos, corresponden a certificados de rotaciones de práctica, en donde la información a certificar es enviada por parte de la facultad de Ciencias de Salud Exactas y Naturales.
Es importante aclarar que este tipo de certificados se solicitan a la facultad toda vez que este no lo genera el sistema y una vez ellos envían la información de rotación del estudiante solicitante, y la jefe de admisiones y registro procede a su firma.
Adicional a lo anterior se precisa que desde el año 2020 por instrucción nacional todos los certificados académicos que antes eran firmados por el secretario académico respectivo ya sn firmados por la jefe de admisiones y registro</t>
        </r>
      </text>
    </comment>
    <comment ref="K8" authorId="1" shapeId="0" xr:uid="{00000000-0006-0000-0000-000003000000}">
      <text>
        <r>
          <rPr>
            <b/>
            <sz val="9"/>
            <color indexed="81"/>
            <rFont val="Tahoma"/>
            <family val="2"/>
          </rPr>
          <t>Gloria A. Sanchez M.:</t>
        </r>
        <r>
          <rPr>
            <sz val="9"/>
            <color indexed="81"/>
            <rFont val="Tahoma"/>
            <family val="2"/>
          </rPr>
          <t xml:space="preserve">
Para el período 2022-2, se cumple la meta nacional, obteniéndose un resultado en la seccional del 99,25%, Se generaron 1072 certificados, de los cuales se entregaron dentro de los plazos establecidos 1064, se cumplió con la meta, aquellos que no fueron generados dentro de los plazos, corresponden a certificados de rotaciones de práctica y plan de estudio con intensidad horaria total, en donde la información a certificar es enviada por parte de la facultad de ciencias de salud.</t>
        </r>
      </text>
    </comment>
    <comment ref="D9" authorId="0" shapeId="0" xr:uid="{00000000-0006-0000-0000-000004000000}">
      <text>
        <r>
          <rPr>
            <b/>
            <sz val="12"/>
            <color indexed="81"/>
            <rFont val="Tahoma"/>
            <family val="2"/>
          </rPr>
          <t>Gloria Amparo Sanchez:</t>
        </r>
        <r>
          <rPr>
            <sz val="12"/>
            <color indexed="81"/>
            <rFont val="Tahoma"/>
            <family val="2"/>
          </rPr>
          <t xml:space="preserve">
Monitorear el cumplimiento del acuerdo de servicio de elaboración y entrega oportuna de las Certificaciones Académicas, ampliando su alcance al control del la confiabilidad de la información de los mismos, con el fin de establecer desviaciones y analizar las causas ya sea de sistema o errores en la información ingresada.</t>
        </r>
      </text>
    </comment>
    <comment ref="E9" authorId="1" shapeId="0" xr:uid="{00000000-0006-0000-0000-000005000000}">
      <text>
        <r>
          <rPr>
            <b/>
            <sz val="9"/>
            <color indexed="81"/>
            <rFont val="Tahoma"/>
            <family val="2"/>
          </rPr>
          <t>Gloria A. Sanchez M.:</t>
        </r>
        <r>
          <rPr>
            <sz val="9"/>
            <color indexed="81"/>
            <rFont val="Tahoma"/>
            <family val="2"/>
          </rPr>
          <t xml:space="preserve">
PRIMER SEMESTRE: Se cumplió la meta del 90%, lográndose un 97,18% en la Seccional, del total de los 248 docentes del primer periodo de 2022, 241 digitaron las las notas dentro de los plazos establecidos en el calendario académico.
La Facultad de Derecho presento un total de 7 docentes que no digitaron sus notas en los términos de calendario académico, las demás facultades (ciencias de la salud naturales y exactas, facultad de ingenieras y facultades de ciencias económicas administrativas y contables) cumplieron con el 100% de registro de notas oportunamente durante el periodo 2022-1. Los docentes que no digitan sus notas en los términos son reportados mediante oficio a las Decanaturas y Jefatura de personal para que se tomen las acciones correctivas pertinentes mediante listado de morosos
Otra estrategia que se implemento desde el proceso, es enviar correos electrónicos a las decanaturas, secretarios académicos previo al cierre de cada corte como alerta para minimizar la extemporaneidad de los docentes</t>
        </r>
      </text>
    </comment>
    <comment ref="K9" authorId="1" shapeId="0" xr:uid="{00000000-0006-0000-0000-000006000000}">
      <text>
        <r>
          <rPr>
            <b/>
            <sz val="9"/>
            <color indexed="81"/>
            <rFont val="Tahoma"/>
            <family val="2"/>
          </rPr>
          <t>Gloria A. Sanchez M.:</t>
        </r>
        <r>
          <rPr>
            <sz val="9"/>
            <color indexed="81"/>
            <rFont val="Tahoma"/>
            <family val="2"/>
          </rPr>
          <t xml:space="preserve">
EGUNDO SEMESTRE: Se cumplió la meta del 90%, lográndose un 97,67% en la Seccional, del total de los 258 docentes del primer periodo de 2022, 252 digitaron las las notas dentro de los plazos establecidos en el calendario académico.
La Facultad de Derecho ciencias políticas y sociales presento un total de 2 docentes que no digitaron sus notas en los términos de calendario académico, la facultad de ingenieras no presento reporte de morosos, la facultad de ciencias económicas administrativas y contables presento tres docentes morosos y la facultad de ciencias de la salud naturales y exactas presento un docente moroso durante el periodo 2022-2. Los docentes que no digitan sus notas en los términos son reportados mediante oficio a las Decanaturas y Jefatura de personal para que se tomen las acciones correctivas pertinentes mediante listado de morosos.
Otra estrategia que se implemento desde el proceso, es enviar correos electrónicos a las decanaturas, secretarios académicos previo al cierre de cada corte como alerta para minimizar la extemporaneidad de los docentes</t>
        </r>
      </text>
    </comment>
    <comment ref="D10" authorId="0" shapeId="0" xr:uid="{00000000-0006-0000-0000-000007000000}">
      <text>
        <r>
          <rPr>
            <b/>
            <sz val="12"/>
            <color indexed="81"/>
            <rFont val="Tahoma"/>
            <family val="2"/>
          </rPr>
          <t>Gloria Amparo Sanchez:</t>
        </r>
        <r>
          <rPr>
            <sz val="12"/>
            <color indexed="81"/>
            <rFont val="Tahoma"/>
            <family val="2"/>
          </rPr>
          <t xml:space="preserve">
Monitorear el cumplimiento del acuerdo de servicio de elaboración y entrega oportuna de las Certificaciones Académicas, ampliando su alcance al control del la confiabilidad de la información de los mismos, con el fin de establecer desviaciones y analizar las causas ya sea de sistema o errores en la información ingresada.</t>
        </r>
      </text>
    </comment>
    <comment ref="E10" authorId="1" shapeId="0" xr:uid="{00000000-0006-0000-0000-000008000000}">
      <text>
        <r>
          <rPr>
            <b/>
            <sz val="12"/>
            <color indexed="81"/>
            <rFont val="Tahoma"/>
            <family val="2"/>
          </rPr>
          <t>Gloria A. Sanchez M.:</t>
        </r>
        <r>
          <rPr>
            <sz val="12"/>
            <color indexed="81"/>
            <rFont val="Tahoma"/>
            <family val="2"/>
          </rPr>
          <t xml:space="preserve">
Para el período 2022-1 se generaron un total de 1481 certificados, de los cuales 6 fueron reprocesados, cumpliendo así la meta, obteniendo un resultado de la seccional de 99.59%. Esto debido a cambio de documento, en otros casos información personal errónea como lugar de expedición del documento. Como acciones preventivas para mitigar lo anterior, el auxiliar antes de generar los certificados verifica si el estudiante ya es mayor de edad y procede a solicitud fotocopia de su documento de identidad para hacer el cambio en el sistema académico de TI a CC, contribuyendo así a tener actualizada la información de los estudiantes y evitar reprocesos
</t>
        </r>
      </text>
    </comment>
    <comment ref="K10" authorId="1" shapeId="0" xr:uid="{00000000-0006-0000-0000-000009000000}">
      <text>
        <r>
          <rPr>
            <b/>
            <sz val="9"/>
            <color indexed="81"/>
            <rFont val="Tahoma"/>
            <family val="2"/>
          </rPr>
          <t>Gloria A. Sanchez M.:</t>
        </r>
        <r>
          <rPr>
            <sz val="9"/>
            <color indexed="81"/>
            <rFont val="Tahoma"/>
            <family val="2"/>
          </rPr>
          <t xml:space="preserve">
Para el período 2022-2, se cumple con la meta nacional, obteniéndose un resultado en la seccional del 99,44%. Se generaron un total de 1072 certificados, de los cuales 6 fueron reprocesados, cumpliendo así la meta. Esto debido a cambio de documento, en otros casos inconsistencias en notas y promedio, en donde se requería actualizar historias académicas.</t>
        </r>
      </text>
    </comment>
    <comment ref="D14" authorId="0" shapeId="0" xr:uid="{00000000-0006-0000-0000-00000A000000}">
      <text>
        <r>
          <rPr>
            <b/>
            <sz val="9"/>
            <color indexed="81"/>
            <rFont val="Tahoma"/>
            <family val="2"/>
          </rPr>
          <t>Gloria Amparo Sanchez:</t>
        </r>
        <r>
          <rPr>
            <sz val="9"/>
            <color indexed="81"/>
            <rFont val="Tahoma"/>
            <family val="2"/>
          </rPr>
          <t xml:space="preserve">
Conocer el nivel de respuesta en el trámite de las solicitudes recibidas</t>
        </r>
      </text>
    </comment>
    <comment ref="E14" authorId="1" shapeId="0" xr:uid="{00000000-0006-0000-0000-00000B000000}">
      <text>
        <r>
          <rPr>
            <b/>
            <sz val="9"/>
            <color indexed="81"/>
            <rFont val="Tahoma"/>
            <family val="2"/>
          </rPr>
          <t>Gloria A. Sanchez M.:</t>
        </r>
        <r>
          <rPr>
            <sz val="9"/>
            <color indexed="81"/>
            <rFont val="Tahoma"/>
            <family val="2"/>
          </rPr>
          <t xml:space="preserve">
PRIMER SEMESTRE: Se cumple con la meta estándar del 80% , obteniéndose un resultado en la seccional del 85,05%, de un total de 515 solicitudes en el periodo, 438 se atendieron en los tiempos establecidos según el acuerdo de servicio ,24 fueron canceladas por las áreas Académicas y administrativas y 53 corresponden a procesos de importación, que ha generado retrasos a nivel mundial por los contenedores, por efectos de la pandemia y otros inconvenientes, por lo anterior, se le comunica al área solicitante para que sean ellos quienes tomen la decisión si se continúa con el proceso o no por no cumplir con los 90 días establecidos en el acuerdo de servicio.</t>
        </r>
      </text>
    </comment>
    <comment ref="K14" authorId="1" shapeId="0" xr:uid="{00000000-0006-0000-0000-00000C000000}">
      <text>
        <r>
          <rPr>
            <b/>
            <sz val="9"/>
            <color indexed="81"/>
            <rFont val="Tahoma"/>
            <family val="2"/>
          </rPr>
          <t>Gloria A. Sanchez M.:</t>
        </r>
        <r>
          <rPr>
            <sz val="9"/>
            <color indexed="81"/>
            <rFont val="Tahoma"/>
            <family val="2"/>
          </rPr>
          <t xml:space="preserve">
Se cumple con la meta del 80 % del estándar nacional un rango bueno de 81.56 % para un total de 423 solicitudes recibidas, de las cuales 345 fueron tramitadas en los tiempos establecidos, de donde 42 tuvieron retrasos por que son de importación y 36 fueron devueltas a las aéreas, ya que no se podían tramitar por falta de presupuesto del año 2022 , se les solicita nuevamente a las aéreas para que sean tramitadas en el 2023-1</t>
        </r>
      </text>
    </comment>
    <comment ref="E15" authorId="1" shapeId="0" xr:uid="{00000000-0006-0000-0000-00000D000000}">
      <text>
        <r>
          <rPr>
            <b/>
            <sz val="12"/>
            <color indexed="81"/>
            <rFont val="Tahoma"/>
            <family val="2"/>
          </rPr>
          <t>Gloria A. Sanchez M.:</t>
        </r>
        <r>
          <rPr>
            <sz val="12"/>
            <color indexed="81"/>
            <rFont val="Tahoma"/>
            <family val="2"/>
          </rPr>
          <t xml:space="preserve">
Para el primer semestre de 2022 se superó la meta nacional del 80%, lográndose un resultado seccional del 97,67% de efectividad , el total de solicitudes radicadas en almacén fue de 258 y se atendieron oportunamente 252.
De las 6 solicitudes que no se entregaron a tiempo, se debe a la entrega parcial de pedidos que en el momento de ser solicitados, se encontraban en proceso de compra o entrega del suministro (por lo general fueron insumos de papelería y aseo, los cuales se debió hacer cambio en las compras por variación de los precios y/o no tener en existencia ya del producto por el problema de las importaciones en el país, se cancelaron algunas compras por el mismo motivo y se debió realizar de nuevo todo el proceso). Los faltantes en cada entrega, no generaron problemas en las unidades académicas o administrativas ya que se logró tener un pequeño stock para atenderlas, pero se distribuyó equitativamente entre las áreas solicitantes.</t>
        </r>
      </text>
    </comment>
    <comment ref="K15" authorId="1" shapeId="0" xr:uid="{00000000-0006-0000-0000-00000E000000}">
      <text>
        <r>
          <rPr>
            <b/>
            <sz val="9"/>
            <color indexed="81"/>
            <rFont val="Tahoma"/>
            <family val="2"/>
          </rPr>
          <t>Gloria A. Sanchez M.:</t>
        </r>
        <r>
          <rPr>
            <sz val="9"/>
            <color indexed="81"/>
            <rFont val="Tahoma"/>
            <family val="2"/>
          </rPr>
          <t xml:space="preserve">
2022-2:  Se cumple la meta nacional que es mínimo 80%, obteniéndose un resultado seccional del 99,62%.  De un total de 260 solicitudes radicadas en almacén, se atendieron oportunamente 259. La no entrega a tiempo de una de las solicitudes, se debió a que el solicitante realizo con anticipación los insumos para Consejo Directivo, y se entregó en la fecha, por parte de almacén, de la realización del Consejo Directivo.</t>
        </r>
      </text>
    </comment>
    <comment ref="D16" authorId="0" shapeId="0" xr:uid="{00000000-0006-0000-0000-00000F000000}">
      <text>
        <r>
          <rPr>
            <b/>
            <sz val="12"/>
            <color indexed="81"/>
            <rFont val="Tahoma"/>
            <family val="2"/>
          </rPr>
          <t>Gloria Amparo Sanchez:</t>
        </r>
        <r>
          <rPr>
            <sz val="12"/>
            <color indexed="81"/>
            <rFont val="Tahoma"/>
            <family val="2"/>
          </rPr>
          <t xml:space="preserve">
Evaluar el cumplimiento de las actividades planeadas por la auditoría Interna.</t>
        </r>
      </text>
    </comment>
    <comment ref="E16" authorId="1" shapeId="0" xr:uid="{00000000-0006-0000-0000-000010000000}">
      <text>
        <r>
          <rPr>
            <b/>
            <sz val="9"/>
            <color indexed="81"/>
            <rFont val="Tahoma"/>
            <family val="2"/>
          </rPr>
          <t>Gloria A. Sanchez M.:</t>
        </r>
        <r>
          <rPr>
            <sz val="9"/>
            <color indexed="81"/>
            <rFont val="Tahoma"/>
            <family val="2"/>
          </rPr>
          <t xml:space="preserve">
2022-1: De las 124 Auditorias Planeadas de Enero a Junio de 2022; se ejecutó el 100% de las auditorias del plan general de trabajo. Dando cumpliendo con la meta estándar nacional. Desde la auditoria se realiza plan de trabajo anual, donde el equipo auditor de acuerdo a su competencia realizan las auditorias: Academicas, Administrativa y Financiera. Controlando el seguimiento a traves de semaforizacion en dicho plan.
A nivel nacional se dio la instrucción en el año 2021 de realizar auditorias de control previo a: Pagos a proveedores, nomina, cheques, transfrencias; con el fin de ser un organismo preventivo que protege los intereses de la institución.</t>
        </r>
      </text>
    </comment>
    <comment ref="K16" authorId="1" shapeId="0" xr:uid="{00000000-0006-0000-0000-000011000000}">
      <text>
        <r>
          <rPr>
            <b/>
            <sz val="9"/>
            <color indexed="81"/>
            <rFont val="Tahoma"/>
            <family val="2"/>
          </rPr>
          <t>Gloria A. Sanchez M.:</t>
        </r>
        <r>
          <rPr>
            <sz val="9"/>
            <color indexed="81"/>
            <rFont val="Tahoma"/>
            <family val="2"/>
          </rPr>
          <t xml:space="preserve">
2022-2: De las 132 Auditorias Planeadas de Julio a Diciembre de 2022; se ejecutó el 100% de las auditorias del plan general de trabajo. Dando cumpliendo con la meta estándar nacional. Del plan de trabajo anual ejecutado por el equipo auditor se realizaron el total de las auditorias propuestas: Academicas, Administrativa y Financiera. Controlando el seguimiento a traves de semaforizacion en dicho plan.
</t>
        </r>
      </text>
    </comment>
    <comment ref="D17" authorId="0" shapeId="0" xr:uid="{00000000-0006-0000-0000-000012000000}">
      <text>
        <r>
          <rPr>
            <b/>
            <sz val="9"/>
            <color indexed="81"/>
            <rFont val="Tahoma"/>
            <family val="2"/>
          </rPr>
          <t>Gloria Amparo Sanchez:</t>
        </r>
        <r>
          <rPr>
            <sz val="9"/>
            <color indexed="81"/>
            <rFont val="Tahoma"/>
            <family val="2"/>
          </rPr>
          <t xml:space="preserve">
</t>
        </r>
        <r>
          <rPr>
            <sz val="12"/>
            <color indexed="81"/>
            <rFont val="Tahoma"/>
            <family val="2"/>
          </rPr>
          <t>RANGO:  65%-74%</t>
        </r>
      </text>
    </comment>
    <comment ref="E17" authorId="1" shapeId="0" xr:uid="{00000000-0006-0000-0000-000013000000}">
      <text>
        <r>
          <rPr>
            <b/>
            <sz val="9"/>
            <color indexed="81"/>
            <rFont val="Tahoma"/>
            <family val="2"/>
          </rPr>
          <t>Gloria A. Sanchez M.:</t>
        </r>
        <r>
          <rPr>
            <sz val="9"/>
            <color indexed="81"/>
            <rFont val="Tahoma"/>
            <family val="2"/>
          </rPr>
          <t xml:space="preserve">
Enero 2022: Se realizó control previo a 348 cuentas, con el 100% de cumplimiento</t>
        </r>
      </text>
    </comment>
    <comment ref="F17" authorId="1" shapeId="0" xr:uid="{00000000-0006-0000-0000-000014000000}">
      <text>
        <r>
          <rPr>
            <b/>
            <sz val="9"/>
            <color indexed="81"/>
            <rFont val="Tahoma"/>
            <family val="2"/>
          </rPr>
          <t>Gloria A. Sanchez M.:</t>
        </r>
        <r>
          <rPr>
            <sz val="9"/>
            <color indexed="81"/>
            <rFont val="Tahoma"/>
            <family val="2"/>
          </rPr>
          <t xml:space="preserve">
Febrero 2022: Se realizó control previo a 329 cuentas, con el 100% de cumplimiento</t>
        </r>
      </text>
    </comment>
    <comment ref="G17" authorId="1" shapeId="0" xr:uid="{00000000-0006-0000-0000-000015000000}">
      <text>
        <r>
          <rPr>
            <b/>
            <sz val="9"/>
            <color indexed="81"/>
            <rFont val="Tahoma"/>
            <family val="2"/>
          </rPr>
          <t>Gloria A. Sanchez M.:</t>
        </r>
        <r>
          <rPr>
            <sz val="9"/>
            <color indexed="81"/>
            <rFont val="Tahoma"/>
            <family val="2"/>
          </rPr>
          <t xml:space="preserve">
Marzo 2022: Se realizó control previo a 364 cuentas, con el 100% de cumplimiento
</t>
        </r>
      </text>
    </comment>
    <comment ref="H17" authorId="1" shapeId="0" xr:uid="{00000000-0006-0000-0000-000016000000}">
      <text>
        <r>
          <rPr>
            <b/>
            <sz val="9"/>
            <color indexed="81"/>
            <rFont val="Tahoma"/>
            <family val="2"/>
          </rPr>
          <t>Gloria A. Sanchez M.:</t>
        </r>
        <r>
          <rPr>
            <sz val="9"/>
            <color indexed="81"/>
            <rFont val="Tahoma"/>
            <family val="2"/>
          </rPr>
          <t xml:space="preserve">
Abril 2022: Se realizó control previo a 318 cuentas, con el 100% de cumplimiento</t>
        </r>
      </text>
    </comment>
    <comment ref="I17" authorId="1" shapeId="0" xr:uid="{00000000-0006-0000-0000-000017000000}">
      <text>
        <r>
          <rPr>
            <b/>
            <sz val="9"/>
            <color indexed="81"/>
            <rFont val="Tahoma"/>
            <family val="2"/>
          </rPr>
          <t>Gloria A. Sanchez M.:</t>
        </r>
        <r>
          <rPr>
            <sz val="9"/>
            <color indexed="81"/>
            <rFont val="Tahoma"/>
            <family val="2"/>
          </rPr>
          <t xml:space="preserve">
Mayo 2022: Se realizó control previo a 415 cuentas, con el 100% de cumplimiento. Evidenciando Inconsistencias recurrentes en la aplicación de impuestos, anexos de seguridad social no ajustadas a los contratos, causaciones con errores en el concepto, numero de factura o valor. Dichos hallazgos se socializaron con el lider proceso.</t>
        </r>
      </text>
    </comment>
    <comment ref="J17" authorId="1" shapeId="0" xr:uid="{00000000-0006-0000-0000-000018000000}">
      <text>
        <r>
          <rPr>
            <b/>
            <sz val="9"/>
            <color indexed="81"/>
            <rFont val="Tahoma"/>
            <family val="2"/>
          </rPr>
          <t>Gloria A. Sanchez M.:</t>
        </r>
        <r>
          <rPr>
            <sz val="9"/>
            <color indexed="81"/>
            <rFont val="Tahoma"/>
            <family val="2"/>
          </rPr>
          <t xml:space="preserve">
Junio 2022: Se realizó control previo a 396 cuentas, con el 100% de cumplimiento. Evidenciando Inconsistencias recurrentes en la aplicación de impuestos, anexos de seguridad social no ajustadas a los contratos, causaciones con errores en el concepto, numero de factura o valor. Dichos hallazgos se socializaron con el lider proceso.</t>
        </r>
      </text>
    </comment>
    <comment ref="K17" authorId="1" shapeId="0" xr:uid="{00000000-0006-0000-0000-000019000000}">
      <text>
        <r>
          <rPr>
            <b/>
            <sz val="9"/>
            <color indexed="81"/>
            <rFont val="Tahoma"/>
            <family val="2"/>
          </rPr>
          <t>Gloria A. Sanchez M.:</t>
        </r>
        <r>
          <rPr>
            <sz val="9"/>
            <color indexed="81"/>
            <rFont val="Tahoma"/>
            <family val="2"/>
          </rPr>
          <t xml:space="preserve">
ulio 2022: Se realizó control previo a 325 cuentas, con el 100% de cumplimiento. Nuevamente se evidencian Inconsistencias recurrentes en la aplicación de impuestos, anexos de seguridad social no ajustadas a los contratos, causaciones con errores en el concepto, numero de factura o valor. Dichos hallazgos se socializaron con el lider proceso.</t>
        </r>
      </text>
    </comment>
    <comment ref="M17" authorId="1" shapeId="0" xr:uid="{00000000-0006-0000-0000-00001A000000}">
      <text>
        <r>
          <rPr>
            <b/>
            <sz val="9"/>
            <color indexed="81"/>
            <rFont val="Tahoma"/>
            <family val="2"/>
          </rPr>
          <t>Gloria A. Sanchez M.:</t>
        </r>
        <r>
          <rPr>
            <sz val="9"/>
            <color indexed="81"/>
            <rFont val="Tahoma"/>
            <family val="2"/>
          </rPr>
          <t xml:space="preserve">
Septiembre 2022: Se realizó control previo a 347 cuentas, con el 100% de cumplimiento. Evidenciando de manera recurrente Inconsistencias en la aplicación de impuestos, anexos de seguridad social no ajustadas a los contratos, causaciones con errores en el concepto, numero de factura o valor. Dichos hallazgos se socializaron con el lider proceso.</t>
        </r>
      </text>
    </comment>
    <comment ref="N17" authorId="1" shapeId="0" xr:uid="{00000000-0006-0000-0000-00001B000000}">
      <text>
        <r>
          <rPr>
            <b/>
            <sz val="9"/>
            <color indexed="81"/>
            <rFont val="Tahoma"/>
            <family val="2"/>
          </rPr>
          <t>Gloria A. Sanchez M.:</t>
        </r>
        <r>
          <rPr>
            <sz val="9"/>
            <color indexed="81"/>
            <rFont val="Tahoma"/>
            <family val="2"/>
          </rPr>
          <t xml:space="preserve">
Octubre 2022: Se realizó control previo a 308 cuentas, con el 100% de cumplimiento. En el transcurso del año 2022 se evidencian continuamante Inconsistencias en la aplicación de impuestos, anexos de seguridad social no ajustadas a los contratos, causaciones con errores en el concepto, numero de factura o valor. Dichos hallazgos se socializaron con el lider proceso.</t>
        </r>
      </text>
    </comment>
    <comment ref="O17" authorId="1" shapeId="0" xr:uid="{00000000-0006-0000-0000-00001C000000}">
      <text>
        <r>
          <rPr>
            <b/>
            <sz val="9"/>
            <color indexed="81"/>
            <rFont val="Tahoma"/>
            <family val="2"/>
          </rPr>
          <t>Gloria A. Sanchez M.:</t>
        </r>
        <r>
          <rPr>
            <sz val="9"/>
            <color indexed="81"/>
            <rFont val="Tahoma"/>
            <family val="2"/>
          </rPr>
          <t xml:space="preserve">
Noviembre 2022: Se realizó control previo a 349 cuentas, con el 100% de cumplimiento. En el transcurso del año 2022 se evidencian continuamante Inconsistencias en la aplicación de impuestos, anexos de seguridad social no ajustadas a los contratos, causaciones con errores en el concepto, numero de factura o valor. Dichos hallazgos se socializaron con el lider proceso.
</t>
        </r>
      </text>
    </comment>
    <comment ref="P17" authorId="1" shapeId="0" xr:uid="{00000000-0006-0000-0000-00001D000000}">
      <text>
        <r>
          <rPr>
            <b/>
            <sz val="9"/>
            <color indexed="81"/>
            <rFont val="Tahoma"/>
            <family val="2"/>
          </rPr>
          <t>Gloria A. Sanchez M.:</t>
        </r>
        <r>
          <rPr>
            <sz val="9"/>
            <color indexed="81"/>
            <rFont val="Tahoma"/>
            <family val="2"/>
          </rPr>
          <t xml:space="preserve">
Diciembre 2022: Se realizó control previo a 315 cuentas, con el 100% de cumplimiento. En el transcurso del año 2022 se evidencian continuamante Inconsistencias y dichos hallazgos se socializaron con el lider proceso.</t>
        </r>
      </text>
    </comment>
    <comment ref="D19" authorId="0" shapeId="0" xr:uid="{00000000-0006-0000-0000-00001E000000}">
      <text>
        <r>
          <rPr>
            <b/>
            <sz val="9"/>
            <color indexed="81"/>
            <rFont val="Tahoma"/>
            <family val="2"/>
          </rPr>
          <t>Gloria Amparo Sanchez:</t>
        </r>
        <r>
          <rPr>
            <sz val="9"/>
            <color indexed="81"/>
            <rFont val="Tahoma"/>
            <family val="2"/>
          </rPr>
          <t xml:space="preserve">
RANGO BUENO: 10</t>
        </r>
      </text>
    </comment>
    <comment ref="D20" authorId="0" shapeId="0" xr:uid="{00000000-0006-0000-0000-00001F000000}">
      <text>
        <r>
          <rPr>
            <b/>
            <sz val="9"/>
            <color indexed="81"/>
            <rFont val="Tahoma"/>
            <family val="2"/>
          </rPr>
          <t>Gloria Amparo Sanchez:</t>
        </r>
        <r>
          <rPr>
            <sz val="9"/>
            <color indexed="81"/>
            <rFont val="Tahoma"/>
            <family val="2"/>
          </rPr>
          <t xml:space="preserve">
RANGO BUENO: 0,5</t>
        </r>
      </text>
    </comment>
    <comment ref="E20" authorId="1" shapeId="0" xr:uid="{00000000-0006-0000-0000-000020000000}">
      <text>
        <r>
          <rPr>
            <b/>
            <sz val="9"/>
            <color indexed="81"/>
            <rFont val="Tahoma"/>
            <family val="2"/>
          </rPr>
          <t>Gloria A. Sanchez M.:</t>
        </r>
        <r>
          <rPr>
            <sz val="9"/>
            <color indexed="81"/>
            <rFont val="Tahoma"/>
            <family val="2"/>
          </rPr>
          <t xml:space="preserve">
Se cumple la meta nacional del 0,3%, alcanzándose en la seccional el 2,57%, para la vigencia del año 2022. Se adquirió en compra 225 ejemplares (154 sede centro y 71 ejemplares en la sede Belmonte). En donación se recibieron 124 ejemplares (82 centro y 42 ejemplares en Belmonte). y más de 8000 títulos en medio electrónico en cada una de las bases de datos que contienen libros digitales y electrónicos de cada una de las facultades que fueron renovadas durante el presente año.</t>
        </r>
      </text>
    </comment>
    <comment ref="D21" authorId="0" shapeId="0" xr:uid="{00000000-0006-0000-0000-000021000000}">
      <text>
        <r>
          <rPr>
            <b/>
            <sz val="9"/>
            <color indexed="81"/>
            <rFont val="Tahoma"/>
            <family val="2"/>
          </rPr>
          <t>Gloria Amparo Sanchez:</t>
        </r>
        <r>
          <rPr>
            <sz val="9"/>
            <color indexed="81"/>
            <rFont val="Tahoma"/>
            <family val="2"/>
          </rPr>
          <t xml:space="preserve">
RANGO BUENO: 30</t>
        </r>
      </text>
    </comment>
    <comment ref="E21" authorId="1" shapeId="0" xr:uid="{00000000-0006-0000-0000-000022000000}">
      <text>
        <r>
          <rPr>
            <b/>
            <sz val="9"/>
            <color indexed="81"/>
            <rFont val="Tahoma"/>
            <family val="2"/>
          </rPr>
          <t>Gloria A. Sanchez M.:</t>
        </r>
        <r>
          <rPr>
            <sz val="9"/>
            <color indexed="81"/>
            <rFont val="Tahoma"/>
            <family val="2"/>
          </rPr>
          <t xml:space="preserve">
AÑO 2022 Se cumple la meta nacional de 10 volúmenes por estudiante , en la Seccional Pereira, se obtuvo un resultado del 12,05% teniendo en cuenta el total de alumnos de la seccional de 3.254 matriculados y el total de la colección en libros físicos que es de 39.223 ejemplares (sede centro: 19964; campus Belmonte: 19259).
</t>
        </r>
      </text>
    </comment>
    <comment ref="D22" authorId="0" shapeId="0" xr:uid="{00000000-0006-0000-0000-000023000000}">
      <text>
        <r>
          <rPr>
            <b/>
            <sz val="9"/>
            <color indexed="81"/>
            <rFont val="Tahoma"/>
            <family val="2"/>
          </rPr>
          <t>Gloria Amparo Sanchez:</t>
        </r>
        <r>
          <rPr>
            <sz val="9"/>
            <color indexed="81"/>
            <rFont val="Tahoma"/>
            <family val="2"/>
          </rPr>
          <t xml:space="preserve">
RANGO BUENO: 2% </t>
        </r>
      </text>
    </comment>
    <comment ref="E22" authorId="1" shapeId="0" xr:uid="{00000000-0006-0000-0000-000024000000}">
      <text>
        <r>
          <rPr>
            <b/>
            <sz val="9"/>
            <color indexed="81"/>
            <rFont val="Tahoma"/>
            <family val="2"/>
          </rPr>
          <t>Gloria A. Sanchez M.:</t>
        </r>
        <r>
          <rPr>
            <sz val="9"/>
            <color indexed="81"/>
            <rFont val="Tahoma"/>
            <family val="2"/>
          </rPr>
          <t xml:space="preserve">
Año 2022
Comparativamente con el año anterior, la pérdida de material bibliográfico para el año 2022 fue de 27 ejemplares traducidos en el 0,07%, correspondiendo a la sede centro el 0,03% y a la sede Belmonte el 0,11%, ambas bibliotecas son en modalidad abierta al público y nos encontramos por debajo de la meta nacional del 1%. Resultado que genera la actividad desarrollada con el personal de la biblioteca en el inventario anual. Es importante aclarar que la metodología utilizada para este año, fue con gráficas dinámicas del informe de Excel que generaron el total de la colección procesada (39223 ejemplares) contra el total del inventario en JANIUM en libros, a la vez, se verifica los libros ubicados en las estanterías con el lector RFID de Genia y auditados de manera física y presencial por auditoría seccional.</t>
        </r>
      </text>
    </comment>
    <comment ref="D24" authorId="0" shapeId="0" xr:uid="{00000000-0006-0000-0000-000025000000}">
      <text>
        <r>
          <rPr>
            <b/>
            <sz val="9"/>
            <color indexed="81"/>
            <rFont val="Tahoma"/>
            <family val="2"/>
          </rPr>
          <t>Gloria Amparo Sanchez:</t>
        </r>
        <r>
          <rPr>
            <sz val="9"/>
            <color indexed="81"/>
            <rFont val="Tahoma"/>
            <family val="2"/>
          </rPr>
          <t xml:space="preserve">
RANGO BUENO: 36% -50%</t>
        </r>
      </text>
    </comment>
    <comment ref="E24" authorId="1" shapeId="0" xr:uid="{00000000-0006-0000-0000-000026000000}">
      <text>
        <r>
          <rPr>
            <b/>
            <sz val="9"/>
            <color indexed="81"/>
            <rFont val="Tahoma"/>
            <family val="2"/>
          </rPr>
          <t>Gloria A. Sanchez M.:</t>
        </r>
        <r>
          <rPr>
            <sz val="9"/>
            <color indexed="81"/>
            <rFont val="Tahoma"/>
            <family val="2"/>
          </rPr>
          <t xml:space="preserve">
2022-1 En el primer semestre de 2022, se supera la meta nacional del 80% obteniéndose en la seccional un resultado de 97,83% de 451 estudiantes nuevos que recibieron la inducción semestral (Pregrado: 345 y posgrado 106), de un total de 461 estudiantes nuevos matriculados.
Igualmente, se llevó a cabo 11 inducciones en el conocimiento de los servicios y recursos de apoyo académico, durante el semestre a nuevas cohortes en posgrado y personal administrativo nuevo, con la participación de 155 usuarios que corresponden a : 19 administrativos, 136 estudiantes de posgrado. En capacitación semestral se dio 16 capacitaciones con la participación de 210 docentes; y 42 invitaciones a capacitar en recursos físicos y virtuales con la asistencia de 1156 estudiantes de pregrado.</t>
        </r>
      </text>
    </comment>
    <comment ref="K24" authorId="1" shapeId="0" xr:uid="{00000000-0006-0000-0000-000027000000}">
      <text>
        <r>
          <rPr>
            <b/>
            <sz val="9"/>
            <color indexed="81"/>
            <rFont val="Tahoma"/>
            <family val="2"/>
          </rPr>
          <t>Gloria A. Sanchez M.:</t>
        </r>
        <r>
          <rPr>
            <sz val="9"/>
            <color indexed="81"/>
            <rFont val="Tahoma"/>
            <family val="2"/>
          </rPr>
          <t xml:space="preserve">
En el segundo semestre de 2022 se supera la meta nacional del 80% obteniéndose en la seccional un resultado de 84,43% de 461 estudiantes nuevos que recibieron la inducción semestral (pregrado: 411 ; posgrado: 135) de un total de 546 estudiantes nuevos matriculados en el 2022. En el proceso de inducción se recibió 25 invitaciones a inducciones con un total de 690 usuarios distribuidos así: 411 estudiantes de pregrado; 135 estudiantes de posgrado y 6 administrativos y 138 egresados no graduados. 68 invitaciones a capacitaciones presenciales con un total de 1606 estudiantes que participaron de la capacitación en recursos virtuales y servicios de la biblioteca, distribuidos de la siguiente manera: estudiantes de pregrado: 1369; docentes 228; y administrativos 9.</t>
        </r>
      </text>
    </comment>
    <comment ref="D25" authorId="0" shapeId="0" xr:uid="{00000000-0006-0000-0000-000028000000}">
      <text>
        <r>
          <rPr>
            <b/>
            <sz val="9"/>
            <color indexed="81"/>
            <rFont val="Tahoma"/>
            <family val="2"/>
          </rPr>
          <t>Gloria Amparo Sanchez:</t>
        </r>
        <r>
          <rPr>
            <sz val="9"/>
            <color indexed="81"/>
            <rFont val="Tahoma"/>
            <family val="2"/>
          </rPr>
          <t xml:space="preserve">
RANGO BUENO:  80-100</t>
        </r>
      </text>
    </comment>
    <comment ref="E26" authorId="1" shapeId="0" xr:uid="{00000000-0006-0000-0000-000029000000}">
      <text>
        <r>
          <rPr>
            <b/>
            <sz val="9"/>
            <color indexed="81"/>
            <rFont val="Tahoma"/>
            <family val="2"/>
          </rPr>
          <t>Gloria A. Sanchez M.:</t>
        </r>
        <r>
          <rPr>
            <sz val="9"/>
            <color indexed="81"/>
            <rFont val="Tahoma"/>
            <family val="2"/>
          </rPr>
          <t xml:space="preserve">
AÑO 2022
para la vigencia del año 2022 la seccional obtuvo un resultado de 207,07. De acuerdo a datos estadísticos de uso suministrados por el proveedor de JANIUM a noviembre 30. se realizaron 6.689 préstamos de material físico en la biblioteca de la Seccional Pereira. Se visualiza en el sistema de información bibliográfico 49 libros que se encuentran en calidad de préstamo.
Para la Facultad de ciencias económicas administrativas y contables se generaron 463 préstamos; Para la Facultad de Ciencias de la salud, exactas y naturales 620; para la Facultad de Ingeniería 311 préstamos y para la Facultad de Derecho, Ciencias sociales y políticas 5.295 prestamos durante el año 2022</t>
        </r>
      </text>
    </comment>
    <comment ref="D27" authorId="1" shapeId="0" xr:uid="{00000000-0006-0000-0000-00002A000000}">
      <text>
        <r>
          <rPr>
            <b/>
            <sz val="9"/>
            <color indexed="81"/>
            <rFont val="Tahoma"/>
            <family val="2"/>
          </rPr>
          <t>Gloria A. Sanchez M.:</t>
        </r>
        <r>
          <rPr>
            <sz val="9"/>
            <color indexed="81"/>
            <rFont val="Tahoma"/>
            <family val="2"/>
          </rPr>
          <t xml:space="preserve">
Indicador de Gestión de la Biblioteca: “NIVEL DE CONSULTA DE RECURSOS VIRTUALES DE LAS BASES DE DATOS” Por recomendación del Director Nacional de Biblioteca, donde confirma que las variables de este indicador se deberán alimentar teniendo en cuenta las siguientes herramientas. Variable 1. Número de interacciones virtuales en las Bases de Datos; este dato será tomado de la herramienta SIGUL 
Variable 2. Total, de la comunidad universitaria: esta información será tomada del documento “Certificado de Planeación cantidad de estudiantes –Resolución 03”, (el cual se genera dos veces al año y los directores de biblioteca tienen el acceso a este).  Con relación a que aún no se encuentra determinada una meta para este indicador como para el de “Nivel de Uso de Recursos Bibliográficos Físicos (externo y sala)”, se ha recomendado tomar un periodo más como línea base con el objetivo de tener una mayor exactitud a la hora de asignar las metas. 
</t>
        </r>
      </text>
    </comment>
    <comment ref="E27" authorId="1" shapeId="0" xr:uid="{00000000-0006-0000-0000-00002B000000}">
      <text>
        <r>
          <rPr>
            <b/>
            <sz val="9"/>
            <color indexed="81"/>
            <rFont val="Tahoma"/>
            <family val="2"/>
          </rPr>
          <t>Gloria A. Sanchez M.:</t>
        </r>
        <r>
          <rPr>
            <sz val="9"/>
            <color indexed="81"/>
            <rFont val="Tahoma"/>
            <family val="2"/>
          </rPr>
          <t xml:space="preserve">
La seccional durante el periodo 2022-1 tuvo 1.190.694 interacciones virtuales de las bases de datos con participación de 1.679 usuarios en la Seccional Pereira, sobre el total de la comunidad universitaria de 3744 estudiantes (pregrado 3220 posgrado 524), distribuido en las 4 facultades de la siguiente manera:
Facultad de Derecho Ciencias Políticas y Sociales: 550.893 interacciones en 702 usuarios;
Facultad de Ingenierías: 207.205 interacciones en 393 usuarios;
Facultad de ciencias de la Salud, exactas y naturales: 245845 interacciones en 323 usuarios y Facultad de Ciencias Económicas Administrativas y Contables: 186.748 interacciones en 261 usuarios.
El resultado del indicador en el Sistema de Información KAWAK fue l 31,802.72
</t>
        </r>
      </text>
    </comment>
    <comment ref="K27" authorId="1" shapeId="0" xr:uid="{00000000-0006-0000-0000-00002C000000}">
      <text>
        <r>
          <rPr>
            <b/>
            <sz val="9"/>
            <color indexed="81"/>
            <rFont val="Tahoma"/>
            <family val="2"/>
          </rPr>
          <t>Gloria A. Sanchez M.:</t>
        </r>
        <r>
          <rPr>
            <sz val="9"/>
            <color indexed="81"/>
            <rFont val="Tahoma"/>
            <family val="2"/>
          </rPr>
          <t xml:space="preserve">
Año 2022
En la seccional se obtuvo un resultado de 3.012109 interacciones virtuales de las bases de datos en 2.595 usuarios a noviembre 30 especificado de la siguiente manera:
para pregrado: 2.592.906 interacciones en 2.386 usuarios
Facultad de Ciencias económicas administrativas y contables: En el año 2022 se generaron 425.269 interacciones en 361 usuarios de 3254 estudiantes de pregrado y posgrado matriculados en la Seccional Pereira, lo que significa que: 195.888 interacciones en 121 usuarios del programa de economía; 111099 interacciones en 130 usuarios para el programa de Administración de empresas; 85.037 interacciones en 95 usuarios para el programa de contaduría pública y 33.263 interacciones en 16 docentes que corresponden a la facultad. Las bases de datos que consultaron más son: Emis, Analítica LEGIS, Ebook 7/24, Scopus, Legiscomex, Legis, Infolegal DMS, V/lex.
Facultad de Derecho, Ciencias Sociales y políticas: En el año 2022 se generaron 964.032 interacciones en 727 usuarios de 3254 estudiantes de pregrado y posgrado matriculados en la Seccional Pereira, lo que significa que: 949.634 interacciones en 679 usuarios del programa de derecho; 14.398 interacciones en 48 usuarios del programa de Trabajo Social. Las bases de datos más consultadas son : Emis, Sciencedirect, Ebook 7/24, Scopus, Legiscomex, Tirant, Ebsco, Jstor, Total pantent one, analítica, V/lex, Experta.
Facultad de ingenierías: Para el año 2022 se generaron 511.317 interacciones en 604 usuarios de 3254 estudiantes de pregrado y posgrado matriculados en la Seccional Pereira, lo que significa que: Para Ing. civil se generaron 325.029 interacciones en 355 usuarios; Ing. comercial se generaron 84.657 interacciones en 106 usuarios; ing. financiera se generaron 54.721 interacciones en 68 usuarios y el programa de Ing. de sistemas se generaron 8.553 interacciones en 45 usuarios. Las bases de datos más consultadas son : Emis, Sciencedirect, Ebook 7/24, Scopus, Legiscomex, Ebsco, Acces Engineering, Virtual pro, icontec, Analítica, Experta.
Facultad de ciencias de la salud, exactas y naturales: Para el año 2022 se generaron 446.713 interacciones en 434 usuarios de 3254 estudiantes de pregrado y posgrado matriculados en la Seccional Pereira, lo que significa que: para el programa de nutrición y dietética se generaron 180.492 interacciones en 168 usuarios; Microbiología 159.112 interacciones en 116 usuarios; Enfermería 107.109 interacciones en 150 usuarios. Las bases de datos más consultadas son: Scopus, Ebooks 7/24, Sciencedirect, Nursing-Ovid,Ebsco, NNNconsult, Clínica key, Anatomy tv, Emis, Icontec, Link solver.
Para posgrado: 310.478 interacciones en 200 usuarios
Facultad de Derecho, ciencias sociales y políticas se generaron 240438 interacciones en 204 usuarios de los programas de especialización. Las bases de datos más consultadas son: V/lex, Xperta,Lex base,Legis móvil, Tirant Lo blanch, Infolegal DMS, Analítica, Scopus, Astrea Virtual, Jstor, Ebsco, Legis.
Facultad de ciencias de la salud, exactas y naturales: Se generaron 4.873 interacciones en 7 usuarios de los programas de especialización y maestría. Las bases de datos más consultadas son: Ebook 7/24, Icontec, Scopus, Linksolver, Salud leyex, Nursing, Legis móvil, Xperta, sgsst Global, Códigos leyex. Analítica.
Facultad de Ingenierías: Se generaron 43 interacciones en 1 usuario de las especializaciones. Las bases de datos más usadas son: Scopus y Sciencedirect
Facultad de ciencias económicas administrativas y contables: Se generaron 56.124 interacciones en 40 usuarios de las especializaciones y maestrías. La bases de datos más consultadas son: Emis, Analítica, Ebook 7/24, Scocpus, Legiscomex, Legismóvil, Xperta, Ebsco, infolegal DMS.</t>
        </r>
      </text>
    </comment>
    <comment ref="D28" authorId="0" shapeId="0" xr:uid="{00000000-0006-0000-0000-00002D000000}">
      <text>
        <r>
          <rPr>
            <b/>
            <sz val="9"/>
            <color indexed="81"/>
            <rFont val="Tahoma"/>
            <family val="2"/>
          </rPr>
          <t>Gloria Amparo Sanchez:</t>
        </r>
        <r>
          <rPr>
            <sz val="9"/>
            <color indexed="81"/>
            <rFont val="Tahoma"/>
            <family val="2"/>
          </rPr>
          <t xml:space="preserve">
Rango bueno: 24,99%-20%</t>
        </r>
      </text>
    </comment>
    <comment ref="E28" authorId="1" shapeId="0" xr:uid="{00000000-0006-0000-0000-00002E000000}">
      <text>
        <r>
          <rPr>
            <b/>
            <sz val="9"/>
            <color indexed="81"/>
            <rFont val="Tahoma"/>
            <family val="2"/>
          </rPr>
          <t>Gloria A. Sanchez M.:</t>
        </r>
        <r>
          <rPr>
            <sz val="9"/>
            <color indexed="81"/>
            <rFont val="Tahoma"/>
            <family val="2"/>
          </rPr>
          <t xml:space="preserve">
Para el primer semestre del 2022, se cumple la meta del 50% con un resultado seccional del 60.92% (del total de 4033 entre estudiantes de pregrado y posgrado, docentes, administrativos y egresados de la comunidad Unilibrista).
Para el primer semestre de la vigencia se obtiene un impacto muy positivo en las intervenciones realizadas dirigidas a toda la comunidad Unilibrista, para la formación de hábitos y estilos de vida que preserven la salud, evidenciado por un 61%. En el retorno a las actividades presenciales se observó un incremento de las valoraciones en el consultorio médico, mayor acceso a los servicios de manera espontánea para asesoramiento y orientación en temas diversos (síntomas COVID-19, medidas de protección, planificación familiar, control del peso y de la presión arterial, entre otros). También se resalta en el periodo el cumplimiento de la semana de la salud, evento que se realizó en el marco del Día Mundial de la Salud y logró la participación de la comunidad en las diferentes campañas y actividades durante la semana del 4 al 8 de abril.
Se programó como parte de las acciones de mejoramiento continuo con la Coordinación de Calidad de la Seccional, jornadas de socialización y refuerzo dirigida al personal docente en el tema de Área Protegida.
En el mes de mayo se realiza intervención dirigida al personal de vigilancia de la Universidad, para socializar y reforzar el uso correcto, cobertura, alcance y límites del servicio de Área Protegida, el cual no queda en las estadísticas por constituirse en personal externo (total intervenidos: 19 personas).</t>
        </r>
      </text>
    </comment>
    <comment ref="K28" authorId="1" shapeId="0" xr:uid="{00000000-0006-0000-0000-00002F000000}">
      <text>
        <r>
          <rPr>
            <b/>
            <sz val="9"/>
            <color indexed="81"/>
            <rFont val="Tahoma"/>
            <family val="2"/>
          </rPr>
          <t>Gloria A. Sanchez M.:</t>
        </r>
        <r>
          <rPr>
            <sz val="9"/>
            <color indexed="81"/>
            <rFont val="Tahoma"/>
            <family val="2"/>
          </rPr>
          <t xml:space="preserve">
Para el segundo semestre del 2022, la coordinación de salud cumple la meta del 50% con un resultado seccional del 55.01%, de un total de 4092 integrantes de la comunidad, se logran impactar a 2.251 personas entre estudiantes de pregrado y posgrado, docentes, administrativos y egresados de la comunidad Unilibrista.
Para el segundo semestre se continua con un impacto muy positivo en las intervenciones realizadas dirigidas a toda la comunidad Unilibrista, Fortaleciendo las acciones de promoción y prevención encaminadas a generar hábitos y estilos de vida saludable, que permitan una mayor conciencia y empoderamiento entre los integrantes de la comunidad universitaria, sobre la importancia de la cultura del cuidado de la salud como aspecto fundamental para el disfrute de la vida.
Así, se llevan a cabo programas sobre todo de prevención y promoción; contamos con consultorio médico, de enfermería y programas tales como:
Consulta Medica
Consulta de enfermería
Atención en planificación familiar
Programas de promoción y prevención
Atención inicial de emergencias (primeros auxilios)
Servicio de área protegida
Programa de autocuidado:
Manejo del estrés
Sexualidad responsable
Hábitos de vida saludable</t>
        </r>
      </text>
    </comment>
    <comment ref="D29" authorId="0" shapeId="0" xr:uid="{00000000-0006-0000-0000-000030000000}">
      <text>
        <r>
          <rPr>
            <b/>
            <sz val="9"/>
            <color indexed="81"/>
            <rFont val="Tahoma"/>
            <family val="2"/>
          </rPr>
          <t>Gloria Amparo Sanchez:</t>
        </r>
        <r>
          <rPr>
            <sz val="9"/>
            <color indexed="81"/>
            <rFont val="Tahoma"/>
            <family val="2"/>
          </rPr>
          <t xml:space="preserve">
Rango bueno: 24,99%-20%</t>
        </r>
      </text>
    </comment>
    <comment ref="E29" authorId="1" shapeId="0" xr:uid="{00000000-0006-0000-0000-000031000000}">
      <text>
        <r>
          <rPr>
            <b/>
            <sz val="9"/>
            <color indexed="81"/>
            <rFont val="Tahoma"/>
            <family val="2"/>
          </rPr>
          <t>Gloria A. Sanchez M.:</t>
        </r>
        <r>
          <rPr>
            <sz val="9"/>
            <color indexed="81"/>
            <rFont val="Tahoma"/>
            <family val="2"/>
          </rPr>
          <t xml:space="preserve">
Para el primer semestre del 2022, Se cumple la meta estándar nacional, con un resultado seccional del 34.12% (del total de 4033 entre estudiantes de pregrado y posgrado, docentes, administrativos y egresados que hacen parte de la comunidad unilibrista, participaron en programas de desarrollo humano 1376 personas)
Lo anterior como resultado de las intervenciones grupales e individuales, Acompañamiento integral en salud mental en momentos de crisis, con seguimiento y continuidad de terapias. Atención Psicológica a la Comunidad Unilibrista con factores de riesgo y confirmación o sospecha de infección por COVID-19.</t>
        </r>
      </text>
    </comment>
    <comment ref="K29" authorId="1" shapeId="0" xr:uid="{00000000-0006-0000-0000-000032000000}">
      <text>
        <r>
          <rPr>
            <b/>
            <sz val="9"/>
            <color indexed="81"/>
            <rFont val="Tahoma"/>
            <family val="2"/>
          </rPr>
          <t>Gloria A. Sanchez M.:</t>
        </r>
        <r>
          <rPr>
            <sz val="9"/>
            <color indexed="81"/>
            <rFont val="Tahoma"/>
            <family val="2"/>
          </rPr>
          <t xml:space="preserve">
Para el segundo semestre del 2022, el área de desarrollo humano cumple la meta estándar nacional, con un resultado seccional del 50,59% de una población total de 4092 personas entre estudiantes de pregrado y posgrado, docentes, administrativos y egresados que hacen parte de la comunidad unilibrista, participaron en programas de desarrollo humano 2070 personas.
Desde el área de Desarrollo humano realizamos acompañamiento integral en salud mental en momentos de crisis, con seguimiento y continuidad de terapias psicológica clínica a la Comunidad Unilibrista y programas tales como:
Asesoría y acompañamiento Psicológico
Talleres motivacionales para la practica empresarial, integral y profesional
Talleres de adaptación a la vida universitaria
Educación y asesoría para el crecimiento y desarrollo personal y profesional
Programa de autocuidado:
Manejo del estrés
Sexualidad responsable
Hábitos de vida saludable
Encuentro de padres unilibristas</t>
        </r>
      </text>
    </comment>
    <comment ref="D30" authorId="0" shapeId="0" xr:uid="{00000000-0006-0000-0000-000033000000}">
      <text>
        <r>
          <rPr>
            <b/>
            <sz val="9"/>
            <color indexed="81"/>
            <rFont val="Tahoma"/>
            <family val="2"/>
          </rPr>
          <t>Gloria Amparo Sanchez:</t>
        </r>
        <r>
          <rPr>
            <sz val="9"/>
            <color indexed="81"/>
            <rFont val="Tahoma"/>
            <family val="2"/>
          </rPr>
          <t xml:space="preserve">
Rango bueno: 4 - 5</t>
        </r>
      </text>
    </comment>
    <comment ref="E30" authorId="1" shapeId="0" xr:uid="{00000000-0006-0000-0000-000034000000}">
      <text>
        <r>
          <rPr>
            <b/>
            <sz val="9"/>
            <color indexed="81"/>
            <rFont val="Tahoma"/>
            <family val="2"/>
          </rPr>
          <t>Gloria A. Sanchez M.:</t>
        </r>
        <r>
          <rPr>
            <sz val="9"/>
            <color indexed="81"/>
            <rFont val="Tahoma"/>
            <family val="2"/>
          </rPr>
          <t xml:space="preserve">
Para el primer semestre del 2022, 51 usuarios calificaron el servicio a través del software de adviser, obteniéndose como resultado el 4,69, equivalente al 93,80% de satisfacción en la atención en salud, la sumatoria del semestre de la calificación de la calificación del servicio en el área de salud - Servicio Médico fue de 239.
Los servicios ofrecidos en esta área son: Consulta médica, valoración por enfermería, asesorías en planificación familiar, atención inicial de urgencias y emergencias, servicio del área protegida, servicio de paramédico, entre otros.</t>
        </r>
      </text>
    </comment>
    <comment ref="K30" authorId="1" shapeId="0" xr:uid="{00000000-0006-0000-0000-000035000000}">
      <text>
        <r>
          <rPr>
            <b/>
            <sz val="9"/>
            <color indexed="81"/>
            <rFont val="Tahoma"/>
            <family val="2"/>
          </rPr>
          <t>Gloria A. Sanchez M.:</t>
        </r>
        <r>
          <rPr>
            <sz val="9"/>
            <color indexed="81"/>
            <rFont val="Tahoma"/>
            <family val="2"/>
          </rPr>
          <t xml:space="preserve">
Para el segundo semestre del 2022, 99 usuarios calificaron el servicio a través del software de adviser, obteniéndose como resultado el 4,52 equivalente al 90,40% de satisfacción en la atención en salud, la sumatoria del semestre de la calificación de la calificación del servicio en el área de salud - Servicio Médico fue de 447.
Los servicios ofrecidos en esta área son: Consulta médica, valoración por enfermería, asesorías en planificación familiar, atención inicial de urgencias y emergencias, servicio del área protegida, servicio de paramédico, entre otros.
</t>
        </r>
      </text>
    </comment>
    <comment ref="D31" authorId="0" shapeId="0" xr:uid="{00000000-0006-0000-0000-000036000000}">
      <text>
        <r>
          <rPr>
            <b/>
            <sz val="9"/>
            <color indexed="81"/>
            <rFont val="Tahoma"/>
            <family val="2"/>
          </rPr>
          <t>Gloria Amparo Sanchez:</t>
        </r>
        <r>
          <rPr>
            <sz val="9"/>
            <color indexed="81"/>
            <rFont val="Tahoma"/>
            <family val="2"/>
          </rPr>
          <t xml:space="preserve">
Rango bueno: 4 - 5</t>
        </r>
      </text>
    </comment>
    <comment ref="E31" authorId="1" shapeId="0" xr:uid="{00000000-0006-0000-0000-000037000000}">
      <text>
        <r>
          <rPr>
            <b/>
            <sz val="9"/>
            <color indexed="81"/>
            <rFont val="Tahoma"/>
            <family val="2"/>
          </rPr>
          <t>Gloria A. Sanchez M.:</t>
        </r>
        <r>
          <rPr>
            <sz val="9"/>
            <color indexed="81"/>
            <rFont val="Tahoma"/>
            <family val="2"/>
          </rPr>
          <t xml:space="preserve">
Para el primer semestre del 2022,19 usuarios calificaron el servicio de psicología, por medio de la plataforma de ADVISER, con una sumatoria de 91,20 calificaciones, obteniéndose una evaluación del 4,80 equivalente al 96% de satisfacción.
Se cuenta con servicio Psicología clínica y educativa, psicóloga asignada a cada facultad , las cuales trabajan en las estrategias educativas que ayudan a la institución a ampliar las tasas de permanencia y graduación con calidad.</t>
        </r>
      </text>
    </comment>
    <comment ref="K31" authorId="1" shapeId="0" xr:uid="{00000000-0006-0000-0000-000038000000}">
      <text>
        <r>
          <rPr>
            <b/>
            <sz val="9"/>
            <color indexed="81"/>
            <rFont val="Tahoma"/>
            <family val="2"/>
          </rPr>
          <t>Gloria A. Sanchez M.:</t>
        </r>
        <r>
          <rPr>
            <sz val="9"/>
            <color indexed="81"/>
            <rFont val="Tahoma"/>
            <family val="2"/>
          </rPr>
          <t xml:space="preserve">
Para el segundo semestre del 2022, 47 usuarios calificaron el servicio de psicología, por medio de la plataforma de ADVISER, con una sumatoria de 212 calificaciones, obteniéndose una evaluación del 4,51 equivalente al 90,20% de satisfacción.
Se cuenta con servicio Psicología clínica y educativa, psicóloga asignada a cada facultad , las cuales trabajan en las estrategias educativas que ayudan a la institución a ampliar las tasas de permanencia y graduación con calidad.
Se cuenta con servicio Psicología clínica y educativa, psicóloga asignada a cada facultad , las cuales trabajan en las estrategias educativas que ayudan a la institución a ampliar las tasas de permanencia y graduación con calidad.</t>
        </r>
      </text>
    </comment>
    <comment ref="D32" authorId="0" shapeId="0" xr:uid="{00000000-0006-0000-0000-000039000000}">
      <text>
        <r>
          <rPr>
            <b/>
            <sz val="9"/>
            <color indexed="81"/>
            <rFont val="Tahoma"/>
            <family val="2"/>
          </rPr>
          <t>Gloria Amparo Sanchez:</t>
        </r>
        <r>
          <rPr>
            <sz val="9"/>
            <color indexed="81"/>
            <rFont val="Tahoma"/>
            <family val="2"/>
          </rPr>
          <t xml:space="preserve">
Rango bueno:  7,99% - 5%</t>
        </r>
      </text>
    </comment>
    <comment ref="E32" authorId="1" shapeId="0" xr:uid="{00000000-0006-0000-0000-00003A000000}">
      <text>
        <r>
          <rPr>
            <b/>
            <sz val="9"/>
            <color indexed="81"/>
            <rFont val="Tahoma"/>
            <family val="2"/>
          </rPr>
          <t>Gloria A. Sanchez M.:</t>
        </r>
        <r>
          <rPr>
            <sz val="9"/>
            <color indexed="81"/>
            <rFont val="Tahoma"/>
            <family val="2"/>
          </rPr>
          <t xml:space="preserve">
e cumple la meta estándar nacional "Alcanzar la participación del 8% del total de la Comunidad Unilibrista en las acciones culturales", obteniendo un resultado seccional del 17.52% ,donde el total de participantes en actividades culturales formativas fue de 738, y actividades culturales recreativas de 726, con una población total de 4033 personas (estudiantes, docentes, administrativos) los cuales hacen parte de la comunidad unilibrista.
Para este primer semestre el área de cultura ofreció sus servicios de manera presencial en las sede centro y Belmonte, con actividades que fueron gran agrado de los participantes, como:
Clases de danzas
claves de música
clases de teatro
clases del taller de pánico escénico
</t>
        </r>
      </text>
    </comment>
    <comment ref="K32" authorId="1" shapeId="0" xr:uid="{00000000-0006-0000-0000-00003B000000}">
      <text>
        <r>
          <rPr>
            <b/>
            <sz val="9"/>
            <color indexed="81"/>
            <rFont val="Tahoma"/>
            <family val="2"/>
          </rPr>
          <t>Gloria A. Sanchez M.:</t>
        </r>
        <r>
          <rPr>
            <sz val="9"/>
            <color indexed="81"/>
            <rFont val="Tahoma"/>
            <family val="2"/>
          </rPr>
          <t xml:space="preserve">
Para el segundo semestre del 2022, desde la coordinación de cultura se cumplió la meta estándar nacional "Alcanzar la participación del 8% del total de la Comunidad Unilibrista en las acciones culturales", obteniendo la seccional Pereira un resultado seccional del 20,39% ,donde el total de participantes en actividades culturales formativas fue de 612, y actividades culturales recreativas de 1.477, con una población total de 4092 personas (estudiantes, docentes, administrativos) los cuales hacen parte de la comunidad unilibrista.
Para este segundo semestre el área de cultura ofreció sus servicios de manera presencial en la sede del centro y de Belmonte, ofertando las disciplinas que fueron de gran agrado para los participantes, como:
Clases de danzas
Clases de música
Clases de teatro
Clases del taller de pánico escénico</t>
        </r>
      </text>
    </comment>
    <comment ref="D33" authorId="0" shapeId="0" xr:uid="{00000000-0006-0000-0000-00003C000000}">
      <text>
        <r>
          <rPr>
            <b/>
            <sz val="9"/>
            <color indexed="81"/>
            <rFont val="Tahoma"/>
            <family val="2"/>
          </rPr>
          <t>Gloria Amparo Sanchez:</t>
        </r>
        <r>
          <rPr>
            <sz val="9"/>
            <color indexed="81"/>
            <rFont val="Tahoma"/>
            <family val="2"/>
          </rPr>
          <t xml:space="preserve">
Gloria Amparo Sanchez:
Rango bueno:  7,99% - 5%</t>
        </r>
      </text>
    </comment>
    <comment ref="E33" authorId="1" shapeId="0" xr:uid="{00000000-0006-0000-0000-00003D000000}">
      <text>
        <r>
          <rPr>
            <b/>
            <sz val="9"/>
            <color indexed="81"/>
            <rFont val="Tahoma"/>
            <family val="2"/>
          </rPr>
          <t>Gloria A. Sanchez M.:</t>
        </r>
        <r>
          <rPr>
            <sz val="9"/>
            <color indexed="81"/>
            <rFont val="Tahoma"/>
            <family val="2"/>
          </rPr>
          <t xml:space="preserve">
Para la coordinación de Deportes se obtiene un resultado del 10,65%, superando la meta del 10% de la participación de la comunidad en las actividades de Deportes.
El número total de participantes en actividades formativas fue de 372, el número total de participantes en actividades recreativas de 508, y de 54 estudiantes que participaron en grupos representativos, con respecto al total de población de la comunidad Unilibrista en semestre de 4033.
Las actividades realizadas durante el primer semestre tuvieron impacto muy positivo en la comunidad, toda vez que la institución regreso a la presencialidad, y de esta manera se habilitaron los espacios deportivos, como la disciplinas de futbol y voleibol.
Se proyecta que para el segundo semestre del año se proyecta poder entregar a la comunidad otras disciplinas como baloncesto y natación.</t>
        </r>
      </text>
    </comment>
    <comment ref="K33" authorId="1" shapeId="0" xr:uid="{00000000-0006-0000-0000-00003E000000}">
      <text>
        <r>
          <rPr>
            <b/>
            <sz val="9"/>
            <color indexed="81"/>
            <rFont val="Tahoma"/>
            <family val="2"/>
          </rPr>
          <t>Gloria A. Sanchez M.:</t>
        </r>
        <r>
          <rPr>
            <sz val="9"/>
            <color indexed="81"/>
            <rFont val="Tahoma"/>
            <family val="2"/>
          </rPr>
          <t xml:space="preserve">
Para el segundo semestre del año la coordinación de Deportes obtiene un resultado del 13,12%, superando la meta del 10% de la participación de la comunidad en las actividades de Deportes.
El número total de participantes en actividades formativas fue de 169, el número total de participantes en actividades recreativas de 1.168, y de 85 estudiantes que participaron en grupos representativos, con respecto al total de población de la comunidad Unilibrista en semestre de 4092.
Las actividades realizadas durante el segundo semestre tuvieron impacto muy positivo en la comunidad, toda vez que la institución regresó a la presencialidad, y de esta manera se habilitaron los diferentes escenarios deportivos, como las disciplinas de futbol, voleibol, baloncesto y Gimnasio.</t>
        </r>
      </text>
    </comment>
    <comment ref="E34" authorId="1" shapeId="0" xr:uid="{00000000-0006-0000-0000-00003F000000}">
      <text>
        <r>
          <rPr>
            <b/>
            <sz val="9"/>
            <color indexed="81"/>
            <rFont val="Tahoma"/>
            <family val="2"/>
          </rPr>
          <t>Gloria A. Sanchez M.:</t>
        </r>
        <r>
          <rPr>
            <sz val="9"/>
            <color indexed="81"/>
            <rFont val="Tahoma"/>
            <family val="2"/>
          </rPr>
          <t xml:space="preserve">
Para el primer semestre del 2022, contamos con una participación de 1070 integrantes de la comunidad unilibrista, con un resultado de impacto del 26.53%
Llevando a cabo desde la coordinación de promoción socioeconómica actividades presenciales, como:
1. Campañas lúdica de seguridad vial.
2. Estudiantes impactados en la Inducción en pregrado.
3. Estudiantes de Inducción en Posgrados.
4. Noche de la excelencia
5. Noche de la pertenencia
6. Proyecto "Unimarket" Red de apoyo a estudiantes y egresados emprendedores
7. Capacitaciones
8. Apoyo logístico</t>
        </r>
      </text>
    </comment>
    <comment ref="K34" authorId="1" shapeId="0" xr:uid="{00000000-0006-0000-0000-000040000000}">
      <text>
        <r>
          <rPr>
            <b/>
            <sz val="9"/>
            <color indexed="81"/>
            <rFont val="Tahoma"/>
            <family val="2"/>
          </rPr>
          <t>Gloria A. Sanchez M.:</t>
        </r>
        <r>
          <rPr>
            <sz val="9"/>
            <color indexed="81"/>
            <rFont val="Tahoma"/>
            <family val="2"/>
          </rPr>
          <t xml:space="preserve">
Para el segundo semestre del 2022, desde la coordinación de promoción socioeconómica contamos con una participación de 1.378 integrantes de la comunidad unilibrista, entre estudiantes, docentes, personal administrativo y egresados con un resultado de impacto del 33,68%
Llevando a cabo desde la coordinación de promoción socioeconómica actividades presenciales, como:
1. Campañas lúdica de seguridad vial.
2. Estudiantes impactados en la Inducción en pregrado.
3. Estudiantes de Inducción en Posgrados.
4. Noche de la excelencia
5. Noche de la pertenencia
6. Proyecto "Unimarket" Red de apoyo a estudiantes y egresados emprendedores
7. Capacitaciones
8. Apoyo logístico</t>
        </r>
      </text>
    </comment>
    <comment ref="D35" authorId="0" shapeId="0" xr:uid="{00000000-0006-0000-0000-000041000000}">
      <text>
        <r>
          <rPr>
            <b/>
            <sz val="9"/>
            <color indexed="81"/>
            <rFont val="Tahoma"/>
            <family val="2"/>
          </rPr>
          <t xml:space="preserve">Gloria Amparo Sanchez:
Rango bueno 80%-70% buscar acciones </t>
        </r>
      </text>
    </comment>
    <comment ref="E35" authorId="1" shapeId="0" xr:uid="{00000000-0006-0000-0000-000042000000}">
      <text>
        <r>
          <rPr>
            <b/>
            <sz val="9"/>
            <color indexed="81"/>
            <rFont val="Tahoma"/>
            <family val="2"/>
          </rPr>
          <t>Gloria A. Sanchez M.:</t>
        </r>
        <r>
          <rPr>
            <sz val="9"/>
            <color indexed="81"/>
            <rFont val="Tahoma"/>
            <family val="2"/>
          </rPr>
          <t xml:space="preserve">
Para la vigencia del año 2022, Se cumple la meta estándar nacional "Ejecutar el 80% de las actividades establecidas en el Plan Anual de Trabajo" , obteniéndose un resultado del 92,47%. De un total de 146 actividades programadas en el plan anual de trabajo (PAT) de Bienestar Universitario, 135 fueron ejecutadas, las 11 que no se ejecutaron, se debió a ajustes presupuestales, y se volvieron a programar para la vigencia 2023:
Las actividades programadas y ejecutadas, se distribuyen por áreas, así:
Salud: de 20 actividades propuestas realiza 17
Desarrollo Humano: de 12 ejecuta 11
Deportes: de 9 realiza 7
Cultura: de 15 realiza 11
Promoción socioeconómica: de 11 realiza 9
Programa de Permanecía y Graduación Estudiantil con Calidad (PPGEC): de 40 actividades programas realiza 41
Egresados: de 39 actividades programadas, se realiza el 100%</t>
        </r>
      </text>
    </comment>
    <comment ref="E36" authorId="1" shapeId="0" xr:uid="{00000000-0006-0000-0000-000043000000}">
      <text>
        <r>
          <rPr>
            <b/>
            <sz val="9"/>
            <color indexed="81"/>
            <rFont val="Tahoma"/>
            <family val="2"/>
          </rPr>
          <t>Gloria A. Sanchez M.:</t>
        </r>
        <r>
          <rPr>
            <sz val="9"/>
            <color indexed="81"/>
            <rFont val="Tahoma"/>
            <family val="2"/>
          </rPr>
          <t xml:space="preserve">
Para la vigencia del año 2022, desde la Dirección de Bienestar Universitario se cumple con la meta de ejecutar el 2% del presupuesto de la seccional Pereira.
El Presupuesto total ejecutado por Bienestar Universitario fue de $739.000.000 y el ejecutado en la seccional Pereira fue de $37.018.000.000 equivalente al 2%. De un total de 146 actividades programas, se ejecutaron 135, de las cuales algunas requerían de presupuesto y otras con los mismo recursos de la universidad.</t>
        </r>
      </text>
    </comment>
    <comment ref="E37" authorId="1" shapeId="0" xr:uid="{00000000-0006-0000-0000-000044000000}">
      <text>
        <r>
          <rPr>
            <b/>
            <sz val="9"/>
            <color indexed="81"/>
            <rFont val="Tahoma"/>
            <family val="2"/>
          </rPr>
          <t>Gloria A. Sanchez M.:</t>
        </r>
        <r>
          <rPr>
            <sz val="9"/>
            <color indexed="81"/>
            <rFont val="Tahoma"/>
            <family val="2"/>
          </rPr>
          <t xml:space="preserve">
Se cumple la meta nacional, obteniéndose en la seccional el 2.28% en el primer semestre del 2022, desde las secretarías académicas por reglamento estudiantil, se hizo entrega de 92 becas a los estudiantes que cumplen requisitos para matricula de honor.
Para el segundo semestre se está trabajando con la presidencia y la sindicatura seccional en el proceso de selección de los estudiantes en estado de vulnerabilidad brindarles el auxilio del 90% del valor del almuerzo. De acuerdo a lo anterior, se creó un procedimiento seccional.</t>
        </r>
      </text>
    </comment>
    <comment ref="K37" authorId="1" shapeId="0" xr:uid="{00000000-0006-0000-0000-000045000000}">
      <text>
        <r>
          <rPr>
            <b/>
            <sz val="9"/>
            <color indexed="81"/>
            <rFont val="Tahoma"/>
            <family val="2"/>
          </rPr>
          <t>Gloria A. Sanchez M.:</t>
        </r>
        <r>
          <rPr>
            <sz val="9"/>
            <color indexed="81"/>
            <rFont val="Tahoma"/>
            <family val="2"/>
          </rPr>
          <t xml:space="preserve">
Para el segundo semestre del año 2022, se cumple la meta nacional, obteniéndose en la seccional el 5,96%. De un total de 244 beneficiados con recursos (Económicos, Tecnológicos, otros), de acuerdo al total de la comunidad uniibrista,  que fue  de 4.092,    distribuidos así:
*  Desde las secretarías académicas por reglamento estudiantil, se hizo entrega de 120 becas a los estudiantes que cumplen requisitos para matricula de honor.
* Se realiza seguimiento y apoyo a 45 estudiantes que ingresan por el programa de Risaralda Profesional.
* Se realiza la entrega del beneficio de almuerzos, en donde se impactan a 23 estudiantes en situación vulnerabilidad en el mes de agosto y 56 estudiantes en el mes de Septiembre de 2022.</t>
        </r>
      </text>
    </comment>
    <comment ref="E38" authorId="1" shapeId="0" xr:uid="{00000000-0006-0000-0000-000046000000}">
      <text>
        <r>
          <rPr>
            <b/>
            <sz val="9"/>
            <color indexed="81"/>
            <rFont val="Tahoma"/>
            <family val="2"/>
          </rPr>
          <t>Gloria A. Sanchez M.:</t>
        </r>
        <r>
          <rPr>
            <sz val="9"/>
            <color indexed="81"/>
            <rFont val="Tahoma"/>
            <family val="2"/>
          </rPr>
          <t xml:space="preserve">
Durante el primer semestre de  2022  no se cumplió la meta del 2% de los egresados que participaron en actividades institucionales y/o académicas, se obtuvo un resultado de 0,72%, con una participación de 167 egresados  frente al total de  23256 egresados. 
Se realizaron 39 eventos,  con un cumplimiento en la ejecución de actividades frente a lo planeado de un 100% (Pregrado:  15760  y Posgrado:  7496) egresados (incluye los fallecidos) en la presente vigencia 2022-1
Las actividades realizadas con egresados son resultado de un trabajo en  equipo con las Facultades, bienestar y el área de egresados.</t>
        </r>
      </text>
    </comment>
    <comment ref="K38" authorId="1" shapeId="0" xr:uid="{00000000-0006-0000-0000-000047000000}">
      <text>
        <r>
          <rPr>
            <b/>
            <sz val="9"/>
            <color indexed="81"/>
            <rFont val="Tahoma"/>
            <family val="2"/>
          </rPr>
          <t>Gloria A. Sanchez M.:</t>
        </r>
        <r>
          <rPr>
            <sz val="9"/>
            <color indexed="81"/>
            <rFont val="Tahoma"/>
            <family val="2"/>
          </rPr>
          <t xml:space="preserve">
Durante el segundo semestre del año 2022 se realizaron 48 eventos en los cuales participaron 432 egresados de las diferentes disciplinas, de un total 24,184 en la Seccional, con un porcentaje de cumplimiento del 1,79, no se cumplió la meta estándar del 2%, sin embargo mejoró el resultado para este período con respecto al periodo anterior, cumpliéndose con el rango bueno.
Las actividades realizadas con egresados son resultado de un trabajo en equipo con las Facultades, Bienestar Universitario y la Oficina de Egresados, además de lo anterior, el Área de Egresados conjuntamente con el Tribunal Superior de Pereira, realizó un encuentro denominado "Especialidad Civil y de Familia", con una participación de 82 egresados, dato estadístico que está incluido en el número de egresados participantes en los eventos.
Como oportunidad de mejora, se continuará incentivando a los egresados en la participación de eventos</t>
        </r>
      </text>
    </comment>
    <comment ref="E39" authorId="1" shapeId="0" xr:uid="{00000000-0006-0000-0000-000048000000}">
      <text>
        <r>
          <rPr>
            <b/>
            <sz val="9"/>
            <color indexed="81"/>
            <rFont val="Tahoma"/>
            <family val="2"/>
          </rPr>
          <t>Gloria A. Sanchez M.:</t>
        </r>
        <r>
          <rPr>
            <sz val="9"/>
            <color indexed="81"/>
            <rFont val="Tahoma"/>
            <family val="2"/>
          </rPr>
          <t xml:space="preserve">
Para este primer semestre del año 2022, se registraron 68 egresados activos en la plataforma "Talento Unilibrista". No obstante, mientras no se logre mejorar la cultura de vinculación tanto de postulantes como de empresas oferentes, se continuará realizando de forma manual la intermediación laboral. Durante 2022-1 se recibieron y difundieron a través de correo electrónico 70 vacantes de empresas solicitantes.
Se reciben las hojas de vida de los profesionales egresados de la Seccional,
Las solicitudes de empresas gestionadas fueron 70
las hojas de vida recibidas fueron : 7
Egresados que hacen parte de a Bolsa de empleo: 68 frente a 23.256 egresados de la seccional con corte a 2022-1
Se trabaja en equipo con la Facultades, el Consultorio Empresarial -Prácticas y Emprendimiento de CEIDEUL.
Se observa un avance positivo con respecto al periodo anterior de egresados activos en la plataforma "Talento Unilibrista", se espera para el segundo periodo incrementar exponencialmente la vinculación tanto de postulantes como de empresas.</t>
        </r>
      </text>
    </comment>
    <comment ref="K39" authorId="1" shapeId="0" xr:uid="{00000000-0006-0000-0000-000049000000}">
      <text>
        <r>
          <rPr>
            <b/>
            <sz val="9"/>
            <color indexed="81"/>
            <rFont val="Tahoma"/>
            <family val="2"/>
          </rPr>
          <t>Gloria A. Sanchez M.:</t>
        </r>
        <r>
          <rPr>
            <sz val="9"/>
            <color indexed="81"/>
            <rFont val="Tahoma"/>
            <family val="2"/>
          </rPr>
          <t xml:space="preserve">
Para este segundo semestre del año 2022, se registraron 193 egresados activos en la plataforma "Talento Unilibrista". De acuerdo con estrategia implementada en la seccional se han identificado 5 graduados vinculados laboralmente a través de la Bolsa de Empleo, equivalente al 2.59%, cumpliendo con el rango bueno del indicador, como acción de mejora se continuará con la estrategia anteriormente mencionada con el fin de tener el dato real de los graduados efectivamente vinculados, ya que el software no arroja esta información.
Se ha difundido a través de correos electrónicos, WhatsApp, la información sobre la bolsa de Empleo, sin embargo, se continúa enviando las ofertas laborales a los correos electrónicos de los egresados, mientras se fortalece el uso del sistema por parte de egresados y de estudiantes.
Durante el segundo semestre de 2022 se empezó a implementar la recepción de las hojas de vida, para posteriormente enviarla a las empresas solicitantes, esto con el fin de llevar la trazabilidad de oferta, demanda y empleabilidad, como mecanismo de actualización de datos en el sistema Adviser.
Las solicitudes de empresas gestionadas fueron: 77 (fueron tramitadas también por correo electrónico).
Hojas de vida recibidas : 30
Se trabaja en equipo con la Facultades, el Consultorio Empresarial -Prácticas y Emprendimiento de CEIDEUL.
La plataforma "Talento Unilibrista" no genera reporte por seccional, por lo cual se hizo la solicitud a Sandra Castellanos de Qdit, quien se encuentra gestionando el desarrollo de la aplicación, de tal modo que cada seccional pueda generar estadísticas.</t>
        </r>
      </text>
    </comment>
    <comment ref="E40" authorId="1" shapeId="0" xr:uid="{00000000-0006-0000-0000-00004A000000}">
      <text>
        <r>
          <rPr>
            <b/>
            <sz val="9"/>
            <color indexed="81"/>
            <rFont val="Tahoma"/>
            <family val="2"/>
          </rPr>
          <t>Gloria A. Sanchez M.:</t>
        </r>
        <r>
          <rPr>
            <sz val="9"/>
            <color indexed="81"/>
            <rFont val="Tahoma"/>
            <family val="2"/>
          </rPr>
          <t xml:space="preserve">
En la Seccional se obtuvo un resultado de 46,21% en la actualización de la base de datos de egresados (acumulativa). Durante el primer semestre del año 2022, se realizó actualización de 484 datos de egresados, de un total de 10.746, este dato estadístico corresponde a la cantidad por cada egresado que tiene actualizado sus datos. Los 13.792 reportados en la vigencia 2021, es mayor debido a que se reportó por cantidad de correos en la base de datos, (cada egresado puede tener dos o más correos registrados). Lo anterior, teniendo en cuenta que la población de egresados para el 2022-1 fue de 23.256 en bases de datos que reposa en la oficina de egresados, la cual se actualiza con información recibida por registro y control (dato que es reportado por el aplicativo SINU - egrf09). El dato por cada modalidad se toma de la Base de Egresados de la siguiente manera: (Pregrado: 7452, Especialización: 2,946, Maestría: 377, Tecnología Inv Criminal 27) (incluye los egresados fallecidos), la actualización se realiza a través de las siguientes fuentes de información: link de la página web, aplicación de encuesta, realización de eventos, también se actualiza incluyendo en la base los nuevos egresados remitidos por registro y control, contacto directo y Adviser.
Es importante informar que a partir del 2021-2, se implementó para todo el país, el sistema de adviser para la actualización de egresados: Se actualizaron por este medio 279 para 2022-1 (Total egresados desde su inicio en el periodo anterior 390 2021-2 111)</t>
        </r>
      </text>
    </comment>
    <comment ref="K40" authorId="1" shapeId="0" xr:uid="{00000000-0006-0000-0000-00004B000000}">
      <text>
        <r>
          <rPr>
            <b/>
            <sz val="9"/>
            <color indexed="81"/>
            <rFont val="Tahoma"/>
            <family val="2"/>
          </rPr>
          <t>Gloria A. Sanchez M.:</t>
        </r>
        <r>
          <rPr>
            <sz val="9"/>
            <color indexed="81"/>
            <rFont val="Tahoma"/>
            <family val="2"/>
          </rPr>
          <t xml:space="preserve">
Durante el segundo semestre del año 2022 se realizó actualización de 553 datos de egresados, obteniéndose un total de 11.299 , siendo mayor la actualización llevada a cabo entre octubre y diciembre, meses en los cuales se empezó a implementar el uso del WhatsApp y se realizó una mayor difusión del Sistema Adviser, envío de correos electrónicos, fijación en las carteleras de las Facultades del Código QR, tanto de Adviser como de la Bolsa de Empleo.
La base de datos de Egresados se actualiza inicialmente , con la información reportada por la oficina de Registro y Control, según las fechas de grados; la cual no está incluida dentro de las estadísticas de actualización, sino en el total de Graduados, posteriormente se envía correo electrónico a cada uno de los egresados con el fin de darles a conocer los beneficios que la Universidad les ofrece, adjuntando el código QR y el link para que se registren; desde el momento en que se inicia la comunicación con el(a) graduado(a), se actualiza el archivo en Excel (BDD 1974), y en el caso en que el registro lo haga directamente en la plataforma Adviser, automáticamente se genera un archivo plano con el cual se procede a la actualización de la misma base BDD 1974 . Además, se actualiza con los datos de listas de asistencia a diferentes eventos, donde se filtra los egresados por WhatsApp y correo electrónico se envía la información para las respectivas (actualizaciones).
Comparativamente con el semestre anterior, se obtuvo un incremento del 25% en las actualizaciones, correspondiente a que se ha logrado mayor culturización en el uso del sistema Adviser, el cual se empezó a implementar a partir del año 2021-2; para dicho periodo 205 egresados se registraron, lo que representa un crecimiento en el uso del sistema de un 269%, gracias a las campañas realizadas a través del micrositio, el WhatsApp, los correos electrónicos y la atención personalizada.
Desde la Coordinación de Egresados y con el apoyo del Presidente y Rector Seccional, se empezará a implementar a partir del año 2023 como requisito de grado, tanto de pregrado como de posgrado, el registro en Adviser, junto con el diligenciamiento de la encuesta OLE, esto significa que a partir del próximo año, el sistema estará actualizado simultáneamentecon la oficina de Registro y Control, facilitando el acceso y actualización de la información.</t>
        </r>
      </text>
    </comment>
    <comment ref="E41" authorId="1" shapeId="0" xr:uid="{00000000-0006-0000-0000-00004C000000}">
      <text>
        <r>
          <rPr>
            <b/>
            <sz val="9"/>
            <color indexed="81"/>
            <rFont val="Tahoma"/>
            <family val="2"/>
          </rPr>
          <t>Gloria A. Sanchez M.:</t>
        </r>
        <r>
          <rPr>
            <sz val="9"/>
            <color indexed="81"/>
            <rFont val="Tahoma"/>
            <family val="2"/>
          </rPr>
          <t xml:space="preserve">
Se incumple la meta nacional del 2%, obteniéndose un resultado en la seccional del 0,30%. lo anterior fue por la participacion de 70 egresados actividades realizadas en el área de deportes del proceso de Bienestar Universitario frente al total de 23256 egresados . En primer semestre de 2022, se realizaron 4 eventos; allí, se generan espacios de encuentros y diálogo con este importante estamento.
Al invitar a los egresados a participar de los eventos deportivos, artísticos, académicos y culturales, en unión con los demás Unilibristas, se les invita también a ?vivir la vida universitaria? y a ser parte del mejoramiento continuo y del crecimiento de la Universidad en forma activa apoyando los proyectos institucionales.</t>
        </r>
      </text>
    </comment>
    <comment ref="K41" authorId="1" shapeId="0" xr:uid="{00000000-0006-0000-0000-00004D000000}">
      <text>
        <r>
          <rPr>
            <b/>
            <sz val="9"/>
            <color indexed="81"/>
            <rFont val="Tahoma"/>
            <family val="2"/>
          </rPr>
          <t>Gloria A. Sanchez M.:</t>
        </r>
        <r>
          <rPr>
            <sz val="9"/>
            <color indexed="81"/>
            <rFont val="Tahoma"/>
            <family val="2"/>
          </rPr>
          <t xml:space="preserve">
En el segundo semestre del año 2022, participaron en lasa actividades de bienestar 218 egresados, de un total de 24184 equivalente al 0.90%. Con respecto al periodo anterior se puede observar un aumento significativo pasando de 70 a 218 egresados participantes, es importante destacar que el personal administrativo que es egresado de la Universidad fue tenido en cuenta en las estadísticas de Bienestar Universitario.
Bienestar Universitario
? Área egresados:110
? Área de salud: 8
? Área Desarrollo humano: 3
? Área PPC: No hubo reporte
? Área Deportes: 15
? Área cultura: 82
? Área promoción socioeconómica: No hubo reporte
Las invitaciones a participar en los diferentes eventos son enviadas vía correo electrónico a todo los graduados sin excepción, al igual que la promoción de los beneficios.</t>
        </r>
      </text>
    </comment>
    <comment ref="D42" authorId="0" shapeId="0" xr:uid="{00000000-0006-0000-0000-00004E000000}">
      <text>
        <r>
          <rPr>
            <b/>
            <sz val="9"/>
            <color indexed="81"/>
            <rFont val="Tahoma"/>
            <family val="2"/>
          </rPr>
          <t>Gloria Amparo Sanchez:</t>
        </r>
        <r>
          <rPr>
            <sz val="9"/>
            <color indexed="81"/>
            <rFont val="Tahoma"/>
            <family val="2"/>
          </rPr>
          <t xml:space="preserve">
RANGO BUENO: 70% -80%</t>
        </r>
      </text>
    </comment>
    <comment ref="E42" authorId="1" shapeId="0" xr:uid="{00000000-0006-0000-0000-00004F000000}">
      <text>
        <r>
          <rPr>
            <sz val="7"/>
            <color theme="1"/>
            <rFont val="Arial"/>
            <family val="2"/>
          </rPr>
          <t xml:space="preserve">AÑO 2022: Se cumple la meta nacional, donde el resultado en la ejecución de las 17 actividades programadas en los proyectos 21 y 22 del PIDI fue en promedio del 94,12%, distribuidas así: 
Proyecto 21: 5 acciones y 11 actividades --- 97% de cumplimiento
Proyecto 22:  4 acciones y 6 Actividades---- 93% cumplimiento
Las actividades desarrolladas  en cada uno de los proyectos fueron: 
Proyecto 21
1. Acompañamiento a los procesos para realizar ajustes a los documentos por solicitudes de cambio.
2. Actualizar anualmente la herramienta de comunicaciones por los 16 procesos del SGC para identificar las comunicaciones internas y externas que se realizan en los procesos y evaluar su efectividad a través del plan de comunicación institucional.
3. Integrar las 4 facultades de la Seccional al SGC
4. Realizar las auditorías internas y externas para verificar el cumplimiento de normatividad y satisfacción del cliente.
5. Formular, implementar y hacer seguimiento al cierre eficaz de acciones correctivas y/o acciones de mejoramiento y registrar la información en el Sistema de Información de Calidad KAWAK.
6. Identificar nuevos cambios que afecten positiva o negativamente la universidad en cada uno de los procesos y las actividades para su ejecución.
7. Identificar nuevos riesgos y oportunidades de mejora para mitigarlos y/o controlarlos – Hacer seguimiento a la implementación de acciones
8. Realizar seguimiento al registro y cumplimiento de indicadores de gestión y acuerdos de servicio.
9. Realizar Revisión Gerencial anual como rendición de cuentas del estado de los procesos.
10. Elaborar y realizar cronogramas de acompañamiento con los procesos con el fin de sostenimiento y mantenimiento del SGC.
11. Formular e implementar acciones de mejora en cada uno de los procesos de acuerdo con resultados de auditoria externa
Proyecto 22
1. Formular e implementar oportunidades de mejora para la vigencia 2022 en cada uno de los procesos, que impacten positivamente la Universidad en cada uno de ellos.
2. Realizar acompañamientos y capacitaciones a los líderes de proceso y equipos de trabajo relacionados al SGC:
• Gestión del riesgo 
• Gestión del cambio
• Gestión de la comunicación
• Indicadores 
• Auditorias internas
• Oportunidades de mejora
• Revisión gerencial
3. Seguimiento a la elaboración e implementación del plan de incentivos.
4. Formular e implementar oportunidades de mejora de acuerdo a resultados de encuesta de satisfacción aplicada en noviembre y diciembre de 2021
5. Continuar con el seguimiento a la atención a peticiones, quejas, reclamos y denuncias (PQRSD) generando acciones correctivas o de mejora.
6. Continuar realizando seguimiento, control y medición a las calificaciones del servicio y servicios no conformes.
</t>
        </r>
      </text>
    </comment>
    <comment ref="D44" authorId="0" shapeId="0" xr:uid="{00000000-0006-0000-0000-000050000000}">
      <text>
        <r>
          <rPr>
            <b/>
            <sz val="9"/>
            <color indexed="81"/>
            <rFont val="Tahoma"/>
            <family val="2"/>
          </rPr>
          <t>Gloria Amparo Sanchez:</t>
        </r>
        <r>
          <rPr>
            <sz val="9"/>
            <color indexed="81"/>
            <rFont val="Tahoma"/>
            <family val="2"/>
          </rPr>
          <t xml:space="preserve">
RANGO BUENO: 0,20</t>
        </r>
      </text>
    </comment>
    <comment ref="E44" authorId="1" shapeId="0" xr:uid="{00000000-0006-0000-0000-000051000000}">
      <text>
        <r>
          <rPr>
            <b/>
            <sz val="9"/>
            <color indexed="81"/>
            <rFont val="Tahoma"/>
            <family val="2"/>
          </rPr>
          <t>Gloria A. Sanchez M.:</t>
        </r>
        <r>
          <rPr>
            <sz val="9"/>
            <color indexed="81"/>
            <rFont val="Tahoma"/>
            <family val="2"/>
          </rPr>
          <t xml:space="preserve">
2022-1: Se cumplió la meta estándar nacional "Máximo que el 20% de las quejas del semestre sean recurrentes.". Durante el primer semestre de 2022,  de un total de 60 PQRSD, se presentaron 3 recurrentes, equivalente al 5,00%, por las siguientes razones:  Inconformidad en los nuevos horarios del gimnasio muy restringidos, solicitud de techos en entradas a sitios de Belmonte y  por la falta de cafetería en el edificio de posgrados (mes de mayo) </t>
        </r>
      </text>
    </comment>
    <comment ref="K44" authorId="1" shapeId="0" xr:uid="{00000000-0006-0000-0000-000052000000}">
      <text>
        <r>
          <rPr>
            <b/>
            <sz val="9"/>
            <color indexed="81"/>
            <rFont val="Tahoma"/>
            <family val="2"/>
          </rPr>
          <t>Gloria A. Sanchez M.:</t>
        </r>
        <r>
          <rPr>
            <sz val="9"/>
            <color indexed="81"/>
            <rFont val="Tahoma"/>
            <family val="2"/>
          </rPr>
          <t xml:space="preserve">
2022-2: Se cumplió la meta estándar nacional "Máximo que el 20% de las quejas del semestre sean recurrentes.". Durante el segundo semestre de 2022,  de un total de 51 PQRSD, se presentaron 3 recurrentes, equivalente al 5,88%, por las siguientes razones:  1 Queja recurrrente   por falta de aire acondicionado de la biblioteca  de Belmonte  no funciona  y por  Iluminarias malas en la Biblioteca de la sede Belmonte - Estudiante de ingeniería civil - Queja por servicios de cafetería en posgrados  . </t>
        </r>
      </text>
    </comment>
    <comment ref="D45" authorId="0" shapeId="0" xr:uid="{00000000-0006-0000-0000-000053000000}">
      <text>
        <r>
          <rPr>
            <b/>
            <sz val="9"/>
            <color indexed="81"/>
            <rFont val="Tahoma"/>
            <family val="2"/>
          </rPr>
          <t>Gloria Amparo Sanchez:</t>
        </r>
        <r>
          <rPr>
            <sz val="9"/>
            <color indexed="81"/>
            <rFont val="Tahoma"/>
            <family val="2"/>
          </rPr>
          <t xml:space="preserve">
RANGO BUENO: 80% - 90%</t>
        </r>
      </text>
    </comment>
    <comment ref="E45" authorId="1" shapeId="0" xr:uid="{00000000-0006-0000-0000-000054000000}">
      <text>
        <r>
          <rPr>
            <sz val="9"/>
            <color indexed="81"/>
            <rFont val="Tahoma"/>
            <family val="2"/>
          </rPr>
          <t xml:space="preserve">2022-1: Durante el primer semestre de 2022 , a través de la página web de la Universidad (KAWAK), se  presentaron 60  PQRSD en los procesos;  de los cuales 40 fueron quejas y Derechos de petición,  18  solicitudes y/o peticiones o requerimientos Y 2 FELICITACIONES:,  las cuales se tramitaron a través del software KAWAK, 51 se respondieron en el tiempo establecido equivalente al 85%,   57 PQRSD se cerraron  (95%),   3 están en proceso (5%)  por techos que solicitan instalar en belmonte y que se tienen presupuestados para la vigencia 2023 )  y 3  fueron recurrentes (5%) por inconformidad en los nuevos horarios del gimnasio muy restringidos, solicitud de techos en entradas a sitios de Belmonte y  por la falta de cafetería en el edificio de posgrados (mes de mayo) . Las Tutelas se responden a través de la Secretaría Seccional y los Derechos de petición los respondieron los líderes de proceso respectivos  y se registran posteriormente en el kawak por cada una de las áreas académicas y administrativas
DOCENCIA
* Faculta de Derecho Ciencias Políticas y Sociales
1. Queja para aclaración de nota
2. Solicitud de documentación enviada para el proceso de homologación optativa IV de quinto año de derecho
3. Solicitud de situación académica y plan de trabajo
4. D.P. Autorización para ver módulo de control de legalidad que debo aprobar, como prerrequisito para optar al grado de especialista en Derecho urbano gestión y planeamientos inmobiliarios
5.- 6 Queja. Docente no garantiza el derecho a presentar un parcial teniendo un problema médico
7. Solicitud información de preparatorio
8. Reitero de solicitud de autorización para realizar posgrado como opción de grado
9. Solicitud de información Opciones de grado
10. D. Petición: Solicitud entrega de documentos del Dr. Eduardo Humberto Sanz Gutiérrez para proceso investigativo
* Facultad de Ciencias de la Salud, Exactas y Naturales
11. Queja por demora Ingreso al sistema de información dosis refuerzo Mi Vacuna
12. Demora en Certificado de prácticas programa de Enfermería
* Esp Derecho del trabajo pensiones y riesgos laborales
13. Felicitaciones director programa especialización derecho del trabajo pensiones y riesgos laborales
* Esp. Derecho Urbano, Gestión y planeamientos inmobiliarios
14. Petición alternativas asistencia clases Esp. Derecho Urbano, Gestión y planeamientos inmobiliarios
* Maestría en Derecho administrativo:
15. Solicitud de programación de módulo y fecha de grado
GESTIÓN DE ADMISIONES Y REGISTROS
* Queja por Inconveniente de inscripción
* Queja por Demora en la entrega o envió de contenidos de materias solicitados
* Solicitud información Verificación de título
* Solicitud de información para solicitar siguientes documentos que requiere por tramite que debo realizar para viaje al extranjero
* Solicitud de validación de acta de grado Especialista en salud ocupacional, gerencia y control de riesgos
* Mi inscripción no deja culminarla especialización en derecho procesal
GESTIÓN DE SERVICIOS GENERALES
* Queja por falta de techo peatonal sede Belmonte
* Mantenimiento por goteo en salón 301 de posgrados
* Solicitud de mesa de bebidas en aula de postgrado Alta Gerencia
* Petición instalación techo: Adecuar el camino desde la portería de Belmonte hasta el bloque de laboratorio
INVESTIGACIONES
* Solicitud de Investigación y propuesta de Proyecto de Ley: Pérdida de bienes raíces a causa de la violencia armada y las guerras
* Derecho de petición: Solicitud información frente a la convocatoria joven investigador
DIRECCIÓN ESTRATÉGICA
* 1. D.P. Solicitud de información sobre costo de servicios contratados
* Invitación al ?1er foro DIVERSIDAD como motor del desarrollo turístico de la región"
* Devolución de Dinero de matrícula para ingresar a Administración de empresas
GESTIÓN HUMANA
1. D.P. Solicitud copia de expediente (Enviado por correo electrónico)
2. D.P. Solicitud de certificación electrónicos de tiempos laborados (Enviado por correo electrónico)
3. Derecho de petición semanas aportadas al sistema pensional
4. D. Petición: Solicitud entrega de documentos del Dr. Eduardo Humberto Sanz Gutiérrez para proceso investigativo
GESTIÓN DE INFORMÁTICA
1. Queja por no alistamiento de equipo y demora en el inicio del portátil
2. Queja por correos peligrosos
3. Solicitud de ayuda problemas de autenticación correo institucional
PROYECCIÓN SOCIAL
* Consultorio Jurídico y centro de conciliación
1. Solicitud de asesoría jurídica y psicológica
2. Necesito me recomiende un Abogado Penalista. He sido estafada mediante Tarjeta de Crédito.
BIENESTAR UNIVERSITARIO
1. Solicitud información Proyecto Circulo virtuoso (Bolsa de empleo)
2. D.P. para modificación horario o extender del gimnasio (Enfermería)
3. D.P. para modificación horario o extender del gimnasio (Ing Civil)
4. D.P. para modificación horario o extender del gimnasio (Ing Comercial)
5. D.P. para modificación horario o extender del gimnasio (Ing Civil)
6. D.P. para modificación horario o extender del gimnasio (Ing Civil)
7. D.P. para modificación horario o extender del gimnasio (Ing Civil)
8. D.P. para modificación horario o extender del gimnasio (Derecho)
9. D.P. para modificación horario o extender del gimnasio (Ing Civil)
10. D.P. para modificación horario o extender del gimnasio (Ing Civil)
11. D.P. para modificación horario o extender del gimnasio (Ing Civil)
12. D.P. para modificación horario o extender del gimnasio (Ing Civil)
13. Derecho de petición para modificación horario o extender del gimnasio (Ing Civil)
14. D.P. para modificación horario o extender del gimnasio (Ing Civil)
15. D.P. para modificación horario o extender del gimnasio (Ing Civil)
16. Requerimiento Ampliación de horario del gimnasio - Facultad de Ciencias económicas, administrativas y contables
17. Sugerencia acciones de mejora: Cafetería, baños, parqueadero
18 Queja y Solicitud habilitación de Cafetería edificios posgrados - Especialización en Derecho Procesal
19. Precios altos de la Cafetería - Estudiante de Ing. Comercial
20. Solicitud Cafetería en posgrados - Especialización Laboral , Pensiones y Riesgos para modificación horario o extender del gimnasio (Ing Civil)
14. D.P.  para modificación horario o extender del gimnasio (Ing Civil)
15. D.P.  para modificación horario o extender del gimnasio (Ing Civil)
16. Requerimiento Ampliación de horario del gimnasio -  Facultad de Ciencias económicas, administrativas y contables
17. * Sugerencia acciones de mejora: Cafetería, baños, parqueadero
18 Queja y Solicitud habilitación de Cafetería edificios posgrados - Especialización en Derecho Procesal
19. Precios altos de la Cafetería - Estudiante de Ing. Comercial
20. Solicitud Cafetería en posgrados - Especialización Laboral , Pensiones y Riesgos
</t>
        </r>
      </text>
    </comment>
    <comment ref="K45" authorId="1" shapeId="0" xr:uid="{00000000-0006-0000-0000-000055000000}">
      <text>
        <r>
          <rPr>
            <b/>
            <sz val="9"/>
            <color indexed="81"/>
            <rFont val="Tahoma"/>
            <family val="2"/>
          </rPr>
          <t>Gloria A. Sanchez M.:</t>
        </r>
        <r>
          <rPr>
            <sz val="9"/>
            <color indexed="81"/>
            <rFont val="Tahoma"/>
            <family val="2"/>
          </rPr>
          <t xml:space="preserve">
SEGUNDO SEMESTRE:  Durante el segundo semestre de 2022 , a través de la página web de la Universidad (KAWAK), se han presentado 51 PQRSD en los procesos;  de los cuales 32 han sido quejas y Derechos de petición,  18  solicitudes y/o peticiones o requerimientos y 1 felicitación:, las cuales se tramitaron a través del software KAWAK, 43 se respondieron en el tiempo establecido equivalente al 84%,   51 PQRSD se cerraron  (100%),   en proceso (0%) y 3  han sido recurrentes (6%) 1 Queja recurrente   por falta de aire acondicionado de la biblioteca  de Belmonte  no funciona  y por  Iluminarias malas en la Biblioteca de la sede Belmonte - Estudiante de ingeniería civil - Queja por servicios de cafetería en posgrados  . Las Tutelas se responden a través de la Secretaría Seccional y los Derechos de petición los respondieron los líderes de proceso respectivos y se registran posteriormente en el kawak por cada una de las áreas académicas y administrativas
1. DOCENCIA
* Facultad de Ciencias Económicas, administrativas y contables
   Revisión traslado sin respuesta desde el 27 de mayo (Administración de empresas)
Facultad de Derecho Ciencias políticas y sociales
* Derecho de petición a fin de validar los requisitos de grado; certificación segunda lengua programa de Derecho
* Me he pasado varios momentos insistiendo la contestación de una llamada y ha sido fracasado el intento. Por eso de manera respetuosa le solicitó a quien corresponda que no dejes la costumbre de la comunicación vía telefónica es la más asertiva da más celeridad en los procesos y para los usuarios es mayor y mejor la claridad la información.
* Requisito 2a. Lengua JACKSON ALEJANDRO PELAEZ CASTAÑEDA. Maestría en Derecho Penal
* Solicitud programa de formación continuada (Diplomado en conciliación y en Docencia universitaria para monitores – programa de Derecho)
* Derecho de petición:  Solicitud de corrección de nota con profesor diferente al que dio la materia
Facultad de Ingenierías
* Denuncia contra el profesor CESAR AUGUSTO GIRALDO, del programa ingeniería civil Seccional Pereira, por la constancia de abusos
*  No ha recibido respuesta de la denuncia contra el profesor CESAR AUGUSTO GIRALDO, del programa ingeniería civil Seccional Pereira, por la constancia de abusos
Facultad de ciencias de la salud exactas y naturales
*  Ausencia de una opción dentro de la página (Micro currículos)
* Queja porque no la han dado información sobre revisión carga dosis de vacunación
Especialización de derecho procesal probatorio y oralidad
* Queja contra Ángela María Henao Mejía - especialización de derecho procesal probatorio y oralidad cohorte 11
2. GESTIÓN DE ADMISIONES Y REGISTROS
*  No se me dejó inscribir materias de manera oportuna (Derecho semestral izado)
* Solicitud de Certificación de reporte del grado ante el Ministerio de Educación Nacional
3. GESTIÓN FINANCIERA
* La tesorería no realizó el trabajo pertinente con el ICETEX (Derecho semestral izado)
* Reclamo Beca
4. PROYECCIÓN SOCIAL
* Derecho de petición: Desde hace tiempo atrás solicite en medió en consultorio Jurídico para que ayudará en temas relacionados en interponer una RECURSO DE acción de Tutela y nunca se comunicaron conmigo
* Solicitud de información sobre relación de todos y cada uno de los estudiantes de la universidad libre de la ciudad de Pereira que hicieron consultorio jurídico, en la vigencia 2019, y a los que les fue autorizado o avalado la práctica al interior del Establecimiento Penitenciario de Mediana Seguridad y Carcelario de SANTA ROSA DE CAVAL como
requisito de grado para obtener el título de abogado
* Desde el día 7 diciembre a tratado de comunicarse para Revisión casos consultorio jurídico
5.  DIRECCIÓN ESTRATÉGICA
* Solicitud Beca especialización de Administración Financiera
* D.P. Articulo 23 CP: Solicitud información sobre contrato de mantenimiento arreglos Biblioteca - Sede Centro
* D.P. Solicitud de información de Eco ciudadano sobre el manejo del acoso en la Unilibre
6.  BIENESTAR UNIVERSITARIO
* Solicitud Cafetería en posgrados - Especialización en SEGURIDAD Y SALUD EN EL TRABAJO Y GERENCIA CONTROL DE RIESGOS
* (2) Solicitud información de asistencia a inducción estudiantes de Lucy Ivonne Benavides
* Área de Egresados:  Queja no entrega carnet de egresado del programa de Derecho
*Solicitud de información Bolsa de empleo
* (7) Queja servicio de cafetería en Posgrados - Especialización en Seguridad y Salud en el trabajo
7. INVESTIGACIÓN:
• Derecho de petición -Solicitud de evaluaciones docentes 2020 al 2022 y reconocimiento por clasificación como investigador (Facultad de Ciencias Económicas, administrativas y contables)
• Derecho de petición - Solicitud información sobre convocatoria de jóvenes investigadores 2021 
8. INTERNACIONALIZACIÓN:
*Solicitud de intercambio académico en la Universidad Autónoma de Chiapas- Programa de trabajo social
9. GESTIÓN DE BIBLIOTECA
Comodidades biblioteca
10.  SERVICIOS GENERALES
* Falta de aire acondicionado en la Biblioteca - Ingeniería civil
* Falta de aire acondicionado en la Biblioteca - Ingeniería civil
* Aire acondicionado de biblioteca no funciona - Ingeniería civil
* Aire acondicionado de biblioteca- Ingeniería civil
*  Inconformidad por falta de aire acondicionado en la Biblioteca de Belmonte
* Queja por falta de aire acondicionado de la biblioteca no funciona
* (3) Iluminarias malas en la Biblioteca de la sede Belmonte 
* Solicitud de habilitación de parqueaderos de automóviles sede centro
* Solicitud cargadores eléctricos para bicicletas eléctricas - Ing. Financiera
</t>
        </r>
      </text>
    </comment>
    <comment ref="D46" authorId="0" shapeId="0" xr:uid="{00000000-0006-0000-0000-000056000000}">
      <text>
        <r>
          <rPr>
            <b/>
            <sz val="9"/>
            <color indexed="81"/>
            <rFont val="Tahoma"/>
            <family val="2"/>
          </rPr>
          <t>Gloria Amparo Sanchez:</t>
        </r>
        <r>
          <rPr>
            <sz val="9"/>
            <color indexed="81"/>
            <rFont val="Tahoma"/>
            <family val="2"/>
          </rPr>
          <t xml:space="preserve">
RANGO BUENO: 70%-80%</t>
        </r>
      </text>
    </comment>
    <comment ref="E46" authorId="1" shapeId="0" xr:uid="{00000000-0006-0000-0000-000057000000}">
      <text>
        <r>
          <rPr>
            <sz val="9"/>
            <color indexed="81"/>
            <rFont val="Tahoma"/>
            <family val="2"/>
          </rPr>
          <t>2022-1: Se cumplió la meta estándar nacional "Responder dentro del tiempo establecido un 80% del total de quejas recibidas en el período", se obtuvo un resultado de 85,0%  de oportunidad en la respuesta a las PQRSD.  De un Total de 60 PQRSD presentadas en el primer  semestre, 51 de ellas fueron  respondidas  dentro del tiempo establecido.</t>
        </r>
      </text>
    </comment>
    <comment ref="K46" authorId="1" shapeId="0" xr:uid="{00000000-0006-0000-0000-000058000000}">
      <text>
        <r>
          <rPr>
            <b/>
            <sz val="9"/>
            <color indexed="81"/>
            <rFont val="Tahoma"/>
            <family val="2"/>
          </rPr>
          <t>Gloria A. Sanchez M.:</t>
        </r>
        <r>
          <rPr>
            <sz val="9"/>
            <color indexed="81"/>
            <rFont val="Tahoma"/>
            <family val="2"/>
          </rPr>
          <t xml:space="preserve">
2022-2: Se cumplió la meta estándar nacional "Responder dentro del tiempo establecido un 80% del total de quejas recibidas en el período", se obtuvo un resultado de 84,31%  de oportunidad en la respuesta.  De un Total de 51 PQRSD presentadas en el primer  semestre, 48 de ellas fueron  respondidas  dentro del tiempo establecido.</t>
        </r>
      </text>
    </comment>
    <comment ref="E48" authorId="1" shapeId="0" xr:uid="{00000000-0006-0000-0000-000059000000}">
      <text>
        <r>
          <rPr>
            <sz val="7"/>
            <color indexed="81"/>
            <rFont val="Tahoma"/>
            <family val="2"/>
          </rPr>
          <t xml:space="preserve">Año 2022: En el primer semestre del año (del 2 al 13 de mayo de 2022) se auditaron los 16 procesos inmersos en el Sistema de Gestión de Calidad (19 áreas teniendo en cuenta cada Facultad), a través de auditorias presenciales y solo Docencia - Facultad de Derecho Ciencias Políticas y Sociales auditada por el Ingeniero Federico García de la Seccional Cali, fue remota. Para la ejecución de las auditorías se contó con 15 auditores activos asignados a los diferentes procesos:
1. Jaime Alonso Vélez Mazo
2. Beatriz Elena Duran Gómez
3. Luis Hernando López Peñarete
4. Juan Manuel Cárdenas Restrepo
5. Luisa Fernanda Hurtado Castrillón
6. Carlos Andrés Mejía Vergara
7. Martha Beatriz Farfán Orozco
8. Gloria Amparo Sánchez Maldonado
9. Jaime Eduardo Uricoechea Bedoya
10. Jorge Enrique Ramírez Rincón
11. Carlos Alberto Atehortúa García
12. Ángela María Arias Toro
13. Claudia Liliana Piedrahita Castaño
14. Federico García López (Seccional Cali)
15. German Bedoya Cardona
16. Endna García Hernández
17. Diana Arango Isaza
Los resultados fueron: 5 hallazgos o no conformidades (NC) y 20 observaciones (OBS) u oportunidades de mejora, por lo cual en el segundo semestre del año, se trabajó con los líderes de proceso y equipos de trabajo en la formulación de 40 acciones de mejora, donde todas se encuentran cerradas equivalente al 100%. de ejecución.
Es importante señalar que a nivel nacional se auditó la norma NTC5906 del Ministerio de justicia con fines de certificación para el Centro de Conciliación del Consultorio Jurídico, a través de los procesos de proyección social, Gestión de servicios generales, gestión documental, gestión humana y gestión de informática.
</t>
        </r>
      </text>
    </comment>
    <comment ref="E49" authorId="1" shapeId="0" xr:uid="{00000000-0006-0000-0000-00005A000000}">
      <text>
        <r>
          <rPr>
            <sz val="7"/>
            <color indexed="81"/>
            <rFont val="Tahoma"/>
            <family val="2"/>
          </rPr>
          <t xml:space="preserve">2022:  Se identificaron 51 cambios en los procesos de tipo:  Normativo: 12 -  Procesos y/o Métodos de Trabajo.: 26 - Tecnológico: 7 - Recurso Humano: 0 - Infraestructura, instalaciones y equipos: 5. Cambio en los servicios:1. Documental 0.   De los anteriores cambios se formularon 153 actividades en el plan de implementación de cambios  de las cuales 149 se han ejecutado, equivalente al 97,39% de cumplimiento.  Lo anterior a través del sistema de información de calidad KAWAK.  Los cambios pendientes por ejecutar al 100%, los cuales continuarán hasta su ejecución durante la vigencia 2023:  
1. Adecuación y puesta en marcha del programa de residuos de posconsumo en la seccional
2. Alistamiento para Certificar la Universidad en la ISO14001:2015
3. Ampliación del lugar de desarrollo del programa de Ingeniería Civil (Obtención resolución de modificación de registro calificado MEN)
4. Dotación tecnológica de los laboratorios especializados de Ing.Comercial, Financiera y Sistemas (Mejorar los procesos de docencia e  investigación)
</t>
        </r>
      </text>
    </comment>
    <comment ref="E50" authorId="1" shapeId="0" xr:uid="{00000000-0006-0000-0000-00005B000000}">
      <text>
        <r>
          <rPr>
            <sz val="9"/>
            <color indexed="81"/>
            <rFont val="Tahoma"/>
            <family val="2"/>
          </rPr>
          <t xml:space="preserve">Año 2022: En la Seccional  durante el año 2022, se  identificaron  21 riesgos y  21  oportunidades para mitigar o eliminar los riesgos de tipo estratégico (3), operativo (10), tecnológico (3), normativo (4) y financiero (1), los cuales se encuentran registrados en el kawak  con un porcentaje de mitigación del 90,48%.  Los dos riesgos que aún se encuentran en proceso de mitigación y que continúan con el plan de tratamiento  son:
1. Riesgo: No acreditación del laboratorio de investigación del programa de Microbiologíaen ISO 17025
2. Riesgo: Que no se obtenga la certificación del centro de conciliación del consultorio jurídico bajo la norma NTC5906 de 2012
</t>
        </r>
      </text>
    </comment>
    <comment ref="E51" authorId="1" shapeId="0" xr:uid="{00000000-0006-0000-0000-00005C000000}">
      <text>
        <r>
          <rPr>
            <sz val="9"/>
            <color indexed="81"/>
            <rFont val="Tahoma"/>
            <family val="2"/>
          </rPr>
          <t xml:space="preserve">Para el año 2022, la satisfacción de la comunidad Unilibrista frente a la calidad de los servicios prestados en la seccional Pereira fue de 286,29%, donde se tuvo en cuenta los siguientes ítems:
*Sumatoria total de la encuesta de satisfacción (1 a 5): 2.020 
*Número de encuestados:  649
*Número de quejas atendidas de manera eficiente (quejas recurrentes, cerradas y respuestas generadas oportunamente): 94
* Número total de PQRDF recibidas en el periodo: 111
* Sumatoria total de la calificación del servicio (1 a 5): 11.630
* Numero de calificaciones del servicio aplicadas a los procesos: 2816
Es importante tener en cuenta que la última encuesta que se ha realizado a nivel nacional fue en el año 2021 con un porcentaje de satisfacción para la seccional del 81%, con respecto a las PQRSDF, se contabilizó tanto las peticiones, quejas, reclamos, requerimientos, denuncias y felicitaciones que se presentaron en cada uno de los procesos, la calificación del servicio fue muy alta de 2816 con un porcentaje de satisfacción del 97,11%, de acuerdo a las herramientas seccionales como:  Link de la página web, mesa de ayuda en sistemas y formato de solicitud de servicio en servicios generales.
</t>
        </r>
      </text>
    </comment>
    <comment ref="E52" authorId="1" shapeId="0" xr:uid="{00000000-0006-0000-0000-00005D000000}">
      <text>
        <r>
          <rPr>
            <b/>
            <sz val="9"/>
            <color indexed="81"/>
            <rFont val="Tahoma"/>
            <family val="2"/>
          </rPr>
          <t>Gloria A. Sanchez M.:</t>
        </r>
        <r>
          <rPr>
            <sz val="9"/>
            <color indexed="81"/>
            <rFont val="Tahoma"/>
            <family val="2"/>
          </rPr>
          <t xml:space="preserve">
Año 2022:  Durante el año 2022, se midieron 20 indicadores de acuerdos de servicio en los procesos administrativos, de los cuales 2 no cumplieron con la meta estándar nacional, pero sí con el rango bueno, equivalente al 90% en los procesos de aseguramiento de la calidad y Gestión Financiera:  Id 642. Aprobación de Documentos en el SIC dentro de los tiempos establecidos por el SIG, se incumplió debido a que en el sistema de kawak se requiere la aprobación y visto bueno por parte del líder de proceso antes del tiempo estipulado en el correo electrónico que envía la sede principal y ello ocasiona discrepancia en los tiempos, lo que no permite que se cumpla con la meta del indicador, como acción de mejora la sede principal envía a las seccionales los pendientes por aprobación con anticipación que contribuye a mejorar el cumplimiento de dichos tiempos y el indicador Id 432. Días Promedio Para el Trámite De Cuentas Giradas y/o Pagadas (Acuerdo), se debió entre otras a  razones como: Por cierre de año se recibieron facturas y documentos soportes desde el mes de noviembre y el pago se realizó en diciembre, por actas pendientes de recibido, aportes a la seguridad social y certificado del revisor fiscal de las empresas jurídicas, el indicador se afecta con las facturas electrónicas radicadas al inicio del mes y sólo se pueden pagar cuando se ha recibido a satisfacción el servicio al final de mes, igual con los proveedores que dan crédito a 30 días. ejemplo: Mantenimiento Ascensores, plantas, purificadores, servicio de vigilancia privada, servicio de Aseo. Las devoluciones de saldo a favor cuentan con un tiempo de 30 días para realizarlas.
Acuerdos Mensuales: 
1. ID 169: Días promedio para el trámite de cuentas por pagar
2. Id 306. Días Promedio para el Trámite de Cuentas Radicadas (Acuerdo) Seccional Pereira
3. Id 307. Días Promedio Para El Trámite de Cuentas Causadas y/o Registradas (Acuerdo). Seccional Pereira
4. Id 432. Días Promedio Para el Trámite De Cuentas Giradas y/o Pagadas (Acuerdo). Seccional Pereira
5. ID 354 Verificación del correcto funcionamiento de los equipos de cómputo al servicio de docentes y estudiantes (acuerdo)  
6. ID 355: Incidentes atendidos a los equipos de cómputo al servicio de docentes y estudiantes (Acuerdo) 
7. ID 353 Atención a requerimientos audiovisuales 
8. ID 193: Servicio de búsqueda y préstamo de Documentos (acuerdo)  
Trimestrales:
Id 642. Aprobación de Documentos en el SIC dentro de los tiempos establecidos por el SIG.
ID 308 Asignación de disponibilidad presupuestal (Acuerdo)  
Semestrales:
1. Id 142. Elaboración y entrega oportuna de las certificaciones y constancias académicas (Acuerdo) 
2. Id 141.Confiabilidad en la información de los certificados (AS)  
3. Id 156.  Días promedio para el Trámite de solicitudes  Compras por rango (Acuerdo)  
4. Id 108.  Atención médica y/o primaria en Enfermería (Acuerdo) 
5. Id 109. Atención Servicio de Psicología (Acuerdo) Seccional Pereira
6. Id 230. Expedición de certificaciones laborales Físicas (Acuerdo) Seccional Pereira
7. ID 380  Servicio de mantenimiento (Acuerdo) 
8. Id 383. Servicio de correspondencia (acuerdo de servicio)
Anuales:  
ID 735 Índice de crecimiento en el número de títulos adquiridos . Seccional Pereira(AS)    
Id 274. Proporción de volúmenes por alumno (AS)   
</t>
        </r>
      </text>
    </comment>
    <comment ref="E53" authorId="1" shapeId="0" xr:uid="{00000000-0006-0000-0000-00005E000000}">
      <text>
        <r>
          <rPr>
            <b/>
            <sz val="9"/>
            <color indexed="81"/>
            <rFont val="Tahoma"/>
            <family val="2"/>
          </rPr>
          <t>Gloria A. Sanchez M.:</t>
        </r>
        <r>
          <rPr>
            <sz val="9"/>
            <color indexed="81"/>
            <rFont val="Tahoma"/>
            <family val="2"/>
          </rPr>
          <t xml:space="preserve">
Durante el año 2022, de un total de 69 indicadores de proceso estándar, se midieron 68 en las áreas académicas y administrativas (pendiente por medir el Id 234. Evaluación del desempeño (Seccional Pereira), de los cuales 4 no cumplieron con la meta estándar nacional, equivalente al 94,12% de cumplimiento, en los procesos de: Bienestar Universitario y Gestión Financiera:  Id 517. Participación de Egresados en Actividades Institucionales y/o Académicas. Sede Pereira - Id 523. Número de Graduados Vinculados en el Mercado Laboral (Mediante la Bolsa de Empleo). Sede Pereira - Id 630. Participación de Egresados en Actividades de Bienestar. Seccional Pereira - ID 301 Precisión en la elaboración del Presupuesto de inversión, en los cuales se están implementando las oportunidades de mejora correspondientes.
Los indicadores de proceso medidos se desagregan por periodicidad, así:
Indicadores de proceso Mensuales (4)
Id 419. Frecuencia de accidentalidad
Id 420. Severidad de accidentalidad
Id 421. Proporción de accidentes de trabajo mortales
ID 352 Atención a solicitudes de mantenimiento correctivo y preventivo de recursos informáticos
Trimestrales (2):
Id 621. Porcentaje de Participación del Personal Administrativo en el Plan de Capacitaciones. Seccional Pereira
Id 628. Nivel de Satisfacción de las Capacitaciones Realizadas. Seccional Pereira
Semestrales (36):
Id 143. Oportunidad en la entrega de notas
Id 157. Oportunidad en la entrega Seccional Pereira
Id 168. Cumplimiento (está relacionado con el grado de consecución de tareas y/o actividades de la auditoría Interna) Seccional Pereira
Id 272. Oportunidad en la inducción
484 - Nivel de consulta de recursos virtuales de las bases de datos de la Seccional Pereira
Id 106. Participación en programas de Salud Seccional Pereira
Id 107. Participación en programas Desarrollo Humano Seccional Pereira
Id 104. Participación en acciones culturales Seccional Pereira
Id 103. Participación en acciones deportivas y recreativas Seccional Pereira
Id 502. Participación en acciones de promoción socio-económica de la Seccional Pereira 
Id 509. Porcentaje de Beneficiados con Recursos (Económicos, Tecnológicos, otros) Seccional Pereira
Id 517. Participación de Egresados en Actividades Institucionales y/o Académicas. Sede Pereira
Id 523. Número de Graduados Vinculados en el Mercado Laboral (Mediante la Bolsa de Empleo). Sede Pereira
Id 529. Actualización de Bases de Datos de Egresados. Sede Pereira
Id 630. Participación de Egresados en Actividades de Bienestar. Seccional Pereira
ID 5 Quejas recurrentes por proceso
ID 6 Quejas cerradas en el período
ID 7 Quejas respondidas dentro del tiempo establecido
Id 304. Eficacia del recaudo en los créditos a través de entidades financieras
Id 233. Gestión de la Vinculación Administrativa. Seccional Pereira
ID 382:  Nivel de satisfacción en los servicios de mantenimiento prestados
Id 417. Porcentaje de docentes con Doctorado y/o Maestría Seccional Pereira (Las 4 Facultades)
ID67:  Promedio evaluación Docente de la Facultad Ciencias de la salud Exactas y naturales
ID64:  Promedio evaluación Docente de la Facultad Ciencias Económicas, administrativas y contables
ID66:  Promedio evaluación Docente de la Facultad Derecho Ciencias Políticas y sociales
ID65: Promedio evaluación Docente de la Facultad de Ingenierías
Id 441. Cumplimiento de Clases Presenciales y/o Virtuales Programadas en Pregrado Seccional Pereira (Las 4 Facultades)
Id 407. Evaluación cumplimiento actividades de los grupos de investigación de la Sede Pereira
Id 364. Evaluación del Desempeño del Estudiante de Práctica Empresarial. Seccional Pereira
Id 537. Eficiencia en la Asignación de Prácticas Empresariales. Seccional Pereira
Id 558. Porcentaje de empresas con Seguimiento (Virtual y/o Presencial) en Prácticas Empresariales. Seccional Pereira
Id 570. Programa de Educación Continua Ofertados (diplomados, foros, cursos, talleres, congresos, seminarios, simposios, conferencias, entre otros). Seccional Pereira
Id 587. Nivel de la Demanda de Centro de Conciliación. Seccional Pereira
Id 591. Nivel de Atención oportuna de PQRs realizadas al Centro de Conciliación. Seccional Pereira
Id 592. Nivel de Satisfacción con los servicios prestados por el Centro de Conciliación. Seccional Pereira
Id 593. Jornadas de Atención Integral a las Comunidades. Seccional Pereira
Anuales(26):  
Id 271. Pérdida del material bibliográfico
Id 481. Nivel de uso de recursos bibliográficos físicos (externo y sala) Seccional Pereira
Id 101. Ejecución Plan Anual de Trabajo de Bienestar Universitario Seccional Pereira
Id 102. Ejecución presupuestal de Bienestar Universitario Seccional Pereira
ID 1 Cumplimiento en el programa de Actividades
ID 8 Eficacia de las acciones correctivas implementadas
ID 3 Cumplimiento al plan de implementación del cambio
ID 4 Eficacia de las acciones de Gestión del Riesgo
ID 301 Precisión en la elaboración del Presupuesto de inversión
ID 302 Precisión en la elaboración del Presupuesto de gastos 
ID 303 Precisión en la elaboración del Presupuesto de ingresos 
Id 305.Eficacia del recaudo en los créditos directos
Id 300. Oportunidad en entrega de estados financieros Seccional Pereira
Id 234. Evaluación del desempeño (Seccional Pereira)
Id 235. Cumplimiento del Plan de Formación para Administrativos. Seccional Pereira
Id 614. Porcentaje de Ejecución del Presupuesto de Capacitación del Personal Administrativo. Seccional Pereira
Id 422. Prevalencia de la enfermedad laboral.
Id 473. Incidencia de la enfermedad laboral
ID 381 Ejecución del plan de acción
Id192. Cumplimiento del Cronograma de transferencias documentales
ID395 Programas Acreditados
ID389 Porcentaje de Programas que obtienen Registro Calificado
ID 366:  Grupos de investigación reconocidos y Escalafonados por Colciencias de la Seccional Pereira
ID 32 Movilidad docente
ID 33. Movilidad Estudiantil
Id 550. Nivel de eficiencia del Centro de Conciliación. Seccional Pereira
ID 642  Eficacia del SGC
</t>
        </r>
      </text>
    </comment>
    <comment ref="E54" authorId="1" shapeId="0" xr:uid="{00000000-0006-0000-0000-00005F000000}">
      <text>
        <r>
          <rPr>
            <b/>
            <sz val="9"/>
            <color indexed="81"/>
            <rFont val="Tahoma"/>
            <family val="2"/>
          </rPr>
          <t>Gloria A. Sanchez M.:</t>
        </r>
        <r>
          <rPr>
            <sz val="9"/>
            <color indexed="81"/>
            <rFont val="Tahoma"/>
            <family val="2"/>
          </rPr>
          <t xml:space="preserve">
PRIMER TRIMESTRE: En la seccional Pereira de 17 solicitudes de cambio recibidas, 15 cumplieron con el tiempo establecido, equivalente al 88,24%. Las 2 que no cumplieron fue en los procesos de Docencia (1 aprobación) y Gestión de adquisiciones y suministros (1 aprobación), en el primer caso el Vo. Bo. lo debía dar el Rector seccional y en el primer trimestre hubo cambio del mismo, y el segundo proceso GA, fue por cúmulo de actividades y olvidó hacerlo, ya que desde la coordinación de calidad siempre se les refuerza tanto por correo electrónico como telefónicamente o en sitio para recordarles estos pendientes a los líderes de proceso</t>
        </r>
      </text>
    </comment>
    <comment ref="H54" authorId="1" shapeId="0" xr:uid="{00000000-0006-0000-0000-000060000000}">
      <text>
        <r>
          <rPr>
            <b/>
            <sz val="9"/>
            <color indexed="81"/>
            <rFont val="Tahoma"/>
            <family val="2"/>
          </rPr>
          <t>Gloria A. Sanchez M.:</t>
        </r>
        <r>
          <rPr>
            <sz val="9"/>
            <color indexed="81"/>
            <rFont val="Tahoma"/>
            <family val="2"/>
          </rPr>
          <t xml:space="preserve">
SEGUNDO TRIMESTRE: En la seccional Pereira de 41 solicitudes de cambio recibidas, 37 cumplieron con el tiempo establecido, equivalente al 90,24%. Las 4 que no cumplieron fue en los procesos de Bienestar Universitario (1 aprobación) y Gestión Financiera (3 aprobaciones), por lo cual como acción de mejora se continúa sensibilizando a través de correo electrónico y en reuniones, a los procesos para que den continuidad en el SIC dando el Vo. Bo. a los mismos, ya que para algunos titulares no es coherente dar esta aprobación sin enviar los ajustes, también algunos esperan al último día que se tiene para enviar los documentos ajustados y darles el Vo. Bo.</t>
        </r>
      </text>
    </comment>
    <comment ref="K54" authorId="1" shapeId="0" xr:uid="{00000000-0006-0000-0000-000061000000}">
      <text>
        <r>
          <rPr>
            <b/>
            <sz val="9"/>
            <color indexed="81"/>
            <rFont val="Tahoma"/>
            <family val="2"/>
          </rPr>
          <t>Gloria A. Sanchez M.:</t>
        </r>
        <r>
          <rPr>
            <sz val="9"/>
            <color indexed="81"/>
            <rFont val="Tahoma"/>
            <family val="2"/>
          </rPr>
          <t xml:space="preserve">
TERCER TRIMESTRE: En la seccional Pereira de 54 solicitudes de cambio recibidas, 32 cumplieron con el tiempo establecido, equivalente al 59,26%. Las 17 que no cumplieron fue en los procesos de: Docencia, Gestión financiera, Gestión de adquisiciones y suministros, Gestión de servicios generales, Proyección social, Investigación y Gestión Humana, por lo cual como acción de mejora se continúa sensibilizando a través de correo electrónico y en reuniones, a los procesos para que den continuidad en el SIC dando el Vo. Bo. a los mismos, ya que para algunos titulares no es coherente dar esta aprobación sin enviar los ajustes, también algunos esperan al último día que se tiene para enviar los documentos ajustados y darles el Vo. Bo.</t>
        </r>
      </text>
    </comment>
    <comment ref="N54" authorId="1" shapeId="0" xr:uid="{00000000-0006-0000-0000-000062000000}">
      <text>
        <r>
          <rPr>
            <b/>
            <sz val="9"/>
            <color indexed="81"/>
            <rFont val="Tahoma"/>
            <family val="2"/>
          </rPr>
          <t>Gloria A. Sanchez M.:</t>
        </r>
        <r>
          <rPr>
            <sz val="9"/>
            <color indexed="81"/>
            <rFont val="Tahoma"/>
            <family val="2"/>
          </rPr>
          <t xml:space="preserve">
CUARTO TRIMESTRE: No se cumplió la meta estándar nacional del 100%, en la seccional se obtuvo un resultado del 81,82%. De 22 solicitudes de cambio, 4 no cumplieron con el tiempo establecido en el acuerdo de servicio, documentos correspondientes al proceso de Gestión Humana:
1. Instructivo De Inducción
2. Acta De Entrega Información Manejada Por El Cargo
3. Procedimiento De Gestión Del Talento Humano
4. Formato De Inducción Y Reinducción Puesto De Trabajo</t>
        </r>
      </text>
    </comment>
    <comment ref="D56" authorId="0" shapeId="0" xr:uid="{00000000-0006-0000-0000-000063000000}">
      <text>
        <r>
          <rPr>
            <b/>
            <sz val="9"/>
            <color indexed="81"/>
            <rFont val="Tahoma"/>
            <family val="2"/>
          </rPr>
          <t>Gloria Amparo Sanchez:</t>
        </r>
        <r>
          <rPr>
            <sz val="9"/>
            <color indexed="81"/>
            <rFont val="Tahoma"/>
            <family val="2"/>
          </rPr>
          <t xml:space="preserve">
Cumplir con el tiempo establecido en el acuerdo de servicio para los días promedio para el trámite de cuentas por pagar.</t>
        </r>
      </text>
    </comment>
    <comment ref="E56" authorId="1" shapeId="0" xr:uid="{00000000-0006-0000-0000-000064000000}">
      <text>
        <r>
          <rPr>
            <b/>
            <sz val="9"/>
            <color indexed="81"/>
            <rFont val="Tahoma"/>
            <family val="2"/>
          </rPr>
          <t>Gloria A. Sanchez M.:</t>
        </r>
        <r>
          <rPr>
            <sz val="9"/>
            <color indexed="81"/>
            <rFont val="Tahoma"/>
            <family val="2"/>
          </rPr>
          <t xml:space="preserve">
Se cumple la meta del indicador, de un total de 74 documentos equivalente y o facturas recibidas en el mes, el 100% se radicaron dentro de los primeros 5 días establecidos en el acuerdo de servicio.</t>
        </r>
      </text>
    </comment>
    <comment ref="F56" authorId="1" shapeId="0" xr:uid="{00000000-0006-0000-0000-000065000000}">
      <text>
        <r>
          <rPr>
            <b/>
            <sz val="9"/>
            <color indexed="81"/>
            <rFont val="Tahoma"/>
            <family val="2"/>
          </rPr>
          <t>Gloria A. Sanchez M.:</t>
        </r>
        <r>
          <rPr>
            <sz val="9"/>
            <color indexed="81"/>
            <rFont val="Tahoma"/>
            <family val="2"/>
          </rPr>
          <t xml:space="preserve">
Se cumple la meta del indicador, de un total de 211 documentos equivalente y o facturas recibidas en el mes, el 100% se radicaron dentro de los primeros 5 días establecidos en el acuerdo de servicio.</t>
        </r>
      </text>
    </comment>
    <comment ref="G56" authorId="1" shapeId="0" xr:uid="{00000000-0006-0000-0000-000066000000}">
      <text>
        <r>
          <rPr>
            <b/>
            <sz val="9"/>
            <color indexed="81"/>
            <rFont val="Tahoma"/>
            <family val="2"/>
          </rPr>
          <t>Gloria A. Sanchez M.:</t>
        </r>
        <r>
          <rPr>
            <sz val="9"/>
            <color indexed="81"/>
            <rFont val="Tahoma"/>
            <family val="2"/>
          </rPr>
          <t xml:space="preserve">
Se cumple la meta del indicador, de un total de 222 documentos equivalente y o facturas recibidas en el mes, el 100% se radicaron dentro de los primeros 5 días establecidos en el acuerdo de servicio.</t>
        </r>
      </text>
    </comment>
    <comment ref="H56" authorId="1" shapeId="0" xr:uid="{00000000-0006-0000-0000-000067000000}">
      <text>
        <r>
          <rPr>
            <b/>
            <sz val="9"/>
            <color indexed="81"/>
            <rFont val="Tahoma"/>
            <family val="2"/>
          </rPr>
          <t>Gloria A. Sanchez M.:</t>
        </r>
        <r>
          <rPr>
            <sz val="9"/>
            <color indexed="81"/>
            <rFont val="Tahoma"/>
            <family val="2"/>
          </rPr>
          <t xml:space="preserve">
Se cumple la meta del indicador, de un total de 204 documentos equivalente y o facturas recibidas en el mes, el 100% se radicaron dentro de los primeros 5 días establecidos en el acuerdo de servicio.</t>
        </r>
      </text>
    </comment>
    <comment ref="I56" authorId="1" shapeId="0" xr:uid="{00000000-0006-0000-0000-000068000000}">
      <text>
        <r>
          <rPr>
            <b/>
            <sz val="9"/>
            <color indexed="81"/>
            <rFont val="Tahoma"/>
            <family val="2"/>
          </rPr>
          <t>Gloria A. Sanchez M.:</t>
        </r>
        <r>
          <rPr>
            <sz val="9"/>
            <color indexed="81"/>
            <rFont val="Tahoma"/>
            <family val="2"/>
          </rPr>
          <t xml:space="preserve">
Se cumple la meta del indicador, de un total de 325 documentos equivalente y o facturas recibidas en el mes, el 100% se radicaron dentro de los primeros 5 días establecidos en el acuerdo de servicio.</t>
        </r>
      </text>
    </comment>
    <comment ref="J56" authorId="1" shapeId="0" xr:uid="{00000000-0006-0000-0000-000069000000}">
      <text>
        <r>
          <rPr>
            <b/>
            <sz val="9"/>
            <color indexed="81"/>
            <rFont val="Tahoma"/>
            <family val="2"/>
          </rPr>
          <t>Gloria A. Sanchez M.:</t>
        </r>
        <r>
          <rPr>
            <sz val="9"/>
            <color indexed="81"/>
            <rFont val="Tahoma"/>
            <family val="2"/>
          </rPr>
          <t xml:space="preserve">
Se cumple la meta del indicador, de un total de 309 documentos equivalente y o facturas recibidas en el mes, el 100% se radicaron dentro de los primeros 5 días establecidos en el acuerdo de servicio.</t>
        </r>
      </text>
    </comment>
    <comment ref="K56" authorId="1" shapeId="0" xr:uid="{00000000-0006-0000-0000-00006A000000}">
      <text>
        <r>
          <rPr>
            <b/>
            <sz val="9"/>
            <color indexed="81"/>
            <rFont val="Tahoma"/>
            <family val="2"/>
          </rPr>
          <t>Gloria A. Sanchez M.:</t>
        </r>
        <r>
          <rPr>
            <sz val="9"/>
            <color indexed="81"/>
            <rFont val="Tahoma"/>
            <family val="2"/>
          </rPr>
          <t xml:space="preserve">
Se cumple la meta del indicador, de un total de 248 documentos equivalente y o facturas recibidas en el mes, el 100% se radicaron dentro de los primeros 5 días establecidos en el acuerdo de servicio.</t>
        </r>
      </text>
    </comment>
    <comment ref="L56" authorId="1" shapeId="0" xr:uid="{00000000-0006-0000-0000-00006B000000}">
      <text>
        <r>
          <rPr>
            <b/>
            <sz val="9"/>
            <color indexed="81"/>
            <rFont val="Tahoma"/>
            <family val="2"/>
          </rPr>
          <t>Gloria A. Sanchez M.:</t>
        </r>
        <r>
          <rPr>
            <sz val="9"/>
            <color indexed="81"/>
            <rFont val="Tahoma"/>
            <family val="2"/>
          </rPr>
          <t xml:space="preserve">
Se cumple la meta del indicador, de un total de 301 documentos soportes y o facturas electrónicas recibidas en el mes, el 100% se radicaron dentro de los primeros 5 días establecidos en el acuerdo de servicio.
</t>
        </r>
      </text>
    </comment>
    <comment ref="M56" authorId="1" shapeId="0" xr:uid="{00000000-0006-0000-0000-00006C000000}">
      <text>
        <r>
          <rPr>
            <b/>
            <sz val="9"/>
            <color indexed="81"/>
            <rFont val="Tahoma"/>
            <family val="2"/>
          </rPr>
          <t>Gloria A. Sanchez M.:</t>
        </r>
        <r>
          <rPr>
            <sz val="9"/>
            <color indexed="81"/>
            <rFont val="Tahoma"/>
            <family val="2"/>
          </rPr>
          <t xml:space="preserve">
Se cumple la meta del indicador, de un total de 322 documentos soportes y o facturas electrónicas recibidas en el mes, el 100% se radicaron dentro de los primeros 5 días establecidos en el acuerdo de servicio.</t>
        </r>
      </text>
    </comment>
    <comment ref="N56" authorId="1" shapeId="0" xr:uid="{00000000-0006-0000-0000-00006D000000}">
      <text>
        <r>
          <rPr>
            <b/>
            <sz val="9"/>
            <color indexed="81"/>
            <rFont val="Tahoma"/>
            <family val="2"/>
          </rPr>
          <t>Gloria A. Sanchez M.:</t>
        </r>
        <r>
          <rPr>
            <sz val="9"/>
            <color indexed="81"/>
            <rFont val="Tahoma"/>
            <family val="2"/>
          </rPr>
          <t xml:space="preserve">
Se cumple la meta del indicador, de un total de 317 documentos soportes y o facturas electrónicas
recibidas en el mes, el 100% se radicaron dentro de los primeros 5 días establecidos en el acuerdo de servicio.
</t>
        </r>
      </text>
    </comment>
    <comment ref="O56" authorId="1" shapeId="0" xr:uid="{00000000-0006-0000-0000-00006E000000}">
      <text>
        <r>
          <rPr>
            <b/>
            <sz val="9"/>
            <color indexed="81"/>
            <rFont val="Tahoma"/>
            <family val="2"/>
          </rPr>
          <t>Gloria A. Sanchez M.:</t>
        </r>
        <r>
          <rPr>
            <sz val="9"/>
            <color indexed="81"/>
            <rFont val="Tahoma"/>
            <family val="2"/>
          </rPr>
          <t xml:space="preserve">
Se cumple la meta del indicador, de un total de 362 documentos soportes y o facturas electrónicas recibidas en el mes, el 100% se radicaron dentro de los primeros 5 días establecidos en el acuerdo de servicio.</t>
        </r>
      </text>
    </comment>
    <comment ref="P56" authorId="1" shapeId="0" xr:uid="{00000000-0006-0000-0000-00006F000000}">
      <text>
        <r>
          <rPr>
            <b/>
            <sz val="9"/>
            <color indexed="81"/>
            <rFont val="Tahoma"/>
            <family val="2"/>
          </rPr>
          <t>Gloria A. Sanchez M.:</t>
        </r>
        <r>
          <rPr>
            <sz val="9"/>
            <color indexed="81"/>
            <rFont val="Tahoma"/>
            <family val="2"/>
          </rPr>
          <t xml:space="preserve">
Se cumple la meta del indicador, de un total de 293 documentos soportes y o facturas electrónicas recibidas en el mes, el 100% se radicaron dentro de los primeros 5 días establecidos en el acuerdo de servicio.
</t>
        </r>
      </text>
    </comment>
    <comment ref="D58" authorId="0" shapeId="0" xr:uid="{00000000-0006-0000-0000-000070000000}">
      <text>
        <r>
          <rPr>
            <b/>
            <sz val="9"/>
            <color indexed="81"/>
            <rFont val="Tahoma"/>
            <family val="2"/>
          </rPr>
          <t>Gloria Amparo Sanchez:</t>
        </r>
        <r>
          <rPr>
            <sz val="9"/>
            <color indexed="81"/>
            <rFont val="Tahoma"/>
            <family val="2"/>
          </rPr>
          <t xml:space="preserve">
Rango bueno:  99% - 90%</t>
        </r>
      </text>
    </comment>
    <comment ref="E58" authorId="1" shapeId="0" xr:uid="{00000000-0006-0000-0000-000071000000}">
      <text>
        <r>
          <rPr>
            <b/>
            <sz val="9"/>
            <color indexed="81"/>
            <rFont val="Tahoma"/>
            <family val="2"/>
          </rPr>
          <t>Gloria A. Sanchez M.:</t>
        </r>
        <r>
          <rPr>
            <sz val="9"/>
            <color indexed="81"/>
            <rFont val="Tahoma"/>
            <family val="2"/>
          </rPr>
          <t xml:space="preserve">
No se cumplió la meta estándar del indicador del 100%, de un total de 69 documentos equivalentes y /o Facturas para causación en el mes, 58 se causaron dentro de los plazos establecidos en el acuerdo de servicios (3 días) con un 84,06%. como acciones de mejora para alcanzar la meta, se hace seguimiento a los documentos equivalentes y/ o facturas, deben contar con orden virtual, orden de compra, servicio o contrato aplicado en el sistema. Por inicio de año la aplicación de ordenes por parte de las áreas es un poco mas lenta.
</t>
        </r>
      </text>
    </comment>
    <comment ref="F58" authorId="1" shapeId="0" xr:uid="{00000000-0006-0000-0000-000072000000}">
      <text>
        <r>
          <rPr>
            <b/>
            <sz val="9"/>
            <color indexed="81"/>
            <rFont val="Tahoma"/>
            <family val="2"/>
          </rPr>
          <t>Gloria A. Sanchez M.:</t>
        </r>
        <r>
          <rPr>
            <sz val="9"/>
            <color indexed="81"/>
            <rFont val="Tahoma"/>
            <family val="2"/>
          </rPr>
          <t xml:space="preserve">
Se cumplió la meta estándar del indicador del 90%, obteniéndose un resultado seccional del 95,98%, de un total de 199 cuentas recibidas para causación en el mes, 191 cuentas se causaron dentro de los plazos establecidos en el acuerdo de servicios (3 días) equivalente al 95,98%. Como acciones de mejora para alcanzar la meta, se hace seguimiento a los documentos soportes y/ o facturas, deben contar con orden virtual, orden de compra, servicio o contrato aplicado en el sistema.</t>
        </r>
      </text>
    </comment>
    <comment ref="G58" authorId="1" shapeId="0" xr:uid="{00000000-0006-0000-0000-000073000000}">
      <text>
        <r>
          <rPr>
            <b/>
            <sz val="9"/>
            <color indexed="81"/>
            <rFont val="Tahoma"/>
            <family val="2"/>
          </rPr>
          <t>Gloria A. Sanchez M.:</t>
        </r>
        <r>
          <rPr>
            <sz val="9"/>
            <color indexed="81"/>
            <rFont val="Tahoma"/>
            <family val="2"/>
          </rPr>
          <t xml:space="preserve">
No se cumplió la meta estándar del indicador del 90%, se cumplió con el rango bueno,  de un total de 220 documentos equivalentes y /o Facturas para causación en el mes, 196 se causaron dentro de los plazos establecidos en el acuerdo de servicios (3 días) con un 89,09%. como acciones de mejora para alcanzar la meta, se hace seguimiento a los documentos equivalentes y/ o facturas, deben contar con orden virtual, orden de compra, servicio o contrato aplicado en el sistema.</t>
        </r>
      </text>
    </comment>
    <comment ref="H58" authorId="1" shapeId="0" xr:uid="{00000000-0006-0000-0000-000074000000}">
      <text>
        <r>
          <rPr>
            <b/>
            <sz val="9"/>
            <color indexed="81"/>
            <rFont val="Tahoma"/>
            <family val="2"/>
          </rPr>
          <t>Gloria A. Sanchez M.:</t>
        </r>
        <r>
          <rPr>
            <sz val="9"/>
            <color indexed="81"/>
            <rFont val="Tahoma"/>
            <family val="2"/>
          </rPr>
          <t xml:space="preserve">
No se cumplió la meta estándar del indicador del 90%, se obtuvo un resultado de 85,22%,  de un total de 203 documentos equivalentes y /o Facturas para causación en el mes, 173 se causaron dentro de los plazos establecidos en el acuerdo de servicios (3 días) con un 85,22%. como acciones de mejora para alcanzar la meta, se hace seguimiento a los documentos equivalentes y/ o facturas, deben contar con orden virtual, orden de compra, servicio o contrato aplicado en el sistema, por descanso de semana santa el indicador se ve afectado.</t>
        </r>
      </text>
    </comment>
    <comment ref="I58" authorId="1" shapeId="0" xr:uid="{00000000-0006-0000-0000-000075000000}">
      <text>
        <r>
          <rPr>
            <b/>
            <sz val="9"/>
            <color indexed="81"/>
            <rFont val="Tahoma"/>
            <family val="2"/>
          </rPr>
          <t>Gloria A. Sanchez M.:</t>
        </r>
        <r>
          <rPr>
            <sz val="9"/>
            <color indexed="81"/>
            <rFont val="Tahoma"/>
            <family val="2"/>
          </rPr>
          <t xml:space="preserve">
Se  cumplió la meta estándar del indicador del 100%,obteniéndose un resultado seccional del 97,40%, de un total de 308 cuentas recibidas para causación en el mes, 300 cuentas se causaron dentro de los plazos establecidos en el acuerdo de servicios (3 días) equivalente al 97,40%. Como acciones de mejora para incrementar el resultado del indicador, se hace seguimiento a los documentos soportes y/ o facturas, deben contar con orden virtual, orden de compra, servicio o contrato aplicado en el sistema.
</t>
        </r>
      </text>
    </comment>
    <comment ref="J58" authorId="1" shapeId="0" xr:uid="{00000000-0006-0000-0000-000076000000}">
      <text>
        <r>
          <rPr>
            <b/>
            <sz val="9"/>
            <color indexed="81"/>
            <rFont val="Tahoma"/>
            <family val="2"/>
          </rPr>
          <t>Gloria A. Sanchez M.:</t>
        </r>
        <r>
          <rPr>
            <sz val="9"/>
            <color indexed="81"/>
            <rFont val="Tahoma"/>
            <family val="2"/>
          </rPr>
          <t xml:space="preserve">
No se cumplió la meta estándar del indicador del 100%, pero se cumplió con el rango bueno, obteniéndose un resultado seccional del 97,99%, de un total de 298 cuentas recibidas para causación en el mes, 292 cuentas se causaron dentro de los plazos establecidos en el acuerdo de servicios (3 días) equivalente al 97,99%. Como acciones de mejora para alcanzar la meta, se hace seguimiento a los documentos soportes y/ o facturas, deben contar con orden virtual, orden de compra, servicio o contrato aplicado en el sistema.</t>
        </r>
      </text>
    </comment>
    <comment ref="K58" authorId="1" shapeId="0" xr:uid="{00000000-0006-0000-0000-000077000000}">
      <text>
        <r>
          <rPr>
            <sz val="9"/>
            <color indexed="81"/>
            <rFont val="Tahoma"/>
            <family val="2"/>
          </rPr>
          <t>Se cumplió la meta estándar del indicador del 100%, obteniéndose un resultado seccional del 96,05%, de un total de 253 cuentas recibidas para causación en el mes, 243 cuentas se causaron dentro de los plazos establecidos en el acuerdo de servicios (3 días) equivalente al 96,05%. Como acciones de mejora para alcanzar un mejor resultado del indicador, se hace seguimiento a los documentos soportes y/ o facturas, deben contar con orden virtual, orden de compra, servicio o contrato aplicado en el sistema.</t>
        </r>
      </text>
    </comment>
    <comment ref="L58" authorId="1" shapeId="0" xr:uid="{00000000-0006-0000-0000-000078000000}">
      <text>
        <r>
          <rPr>
            <b/>
            <sz val="9"/>
            <color indexed="81"/>
            <rFont val="Tahoma"/>
            <family val="2"/>
          </rPr>
          <t>Gloria A. Sanchez M.:</t>
        </r>
        <r>
          <rPr>
            <sz val="9"/>
            <color indexed="81"/>
            <rFont val="Tahoma"/>
            <family val="2"/>
          </rPr>
          <t xml:space="preserve">
Se cumplió la meta estándar del indicador del 90%, pero se cumplió con el rango bueno, obteniéndose un resultado seccional del 98,69%, de un total de 305 cuentas recibidas para causación en el mes, 301 cuentas se causaron dentro de los plazos establecidos en el acuerdo de servicios (3 días) equivalente al 98,69%. Como acciones de mejora para incrementar el resultado, se hace seguimiento a los documentos soportes y/ o facturas electrónica, deben contar con orden virtual, orden de compra y/o servicio, contrato aplicado en el sistema. Las que no cumplieron se causaron a fin de mes.</t>
        </r>
      </text>
    </comment>
    <comment ref="M58" authorId="1" shapeId="0" xr:uid="{00000000-0006-0000-0000-000079000000}">
      <text>
        <r>
          <rPr>
            <b/>
            <sz val="9"/>
            <color indexed="81"/>
            <rFont val="Tahoma"/>
            <family val="2"/>
          </rPr>
          <t>Gloria A. Sanchez M.:</t>
        </r>
        <r>
          <rPr>
            <sz val="9"/>
            <color indexed="81"/>
            <rFont val="Tahoma"/>
            <family val="2"/>
          </rPr>
          <t xml:space="preserve">
Se cumplió la meta estándar del indicador del 90%, obteniéndose un resultado seccional del 97,79%, de un total de 317 facturas electrónicas y o documentos soportes recibidas para causación en el mes, 310 cuentas se causaron dentro de los plazos establecidos en el acuerdo de servicios (3 días) equivalente al 97,79%. Como acciones de mejora para incrementar el resultado, se hace seguimiento a los documentos soportes y/ o facturas electrónica, deben contar con orden virtual, orden de compra y/o servicio, contrato aplicado en el sistema.</t>
        </r>
      </text>
    </comment>
    <comment ref="N58" authorId="1" shapeId="0" xr:uid="{00000000-0006-0000-0000-00007A000000}">
      <text>
        <r>
          <rPr>
            <b/>
            <sz val="9"/>
            <color indexed="81"/>
            <rFont val="Tahoma"/>
            <family val="2"/>
          </rPr>
          <t>Gloria A. Sanchez M.:</t>
        </r>
        <r>
          <rPr>
            <sz val="9"/>
            <color indexed="81"/>
            <rFont val="Tahoma"/>
            <family val="2"/>
          </rPr>
          <t xml:space="preserve">
Se cumplió la meta estándar del indicador del 90%, obteniéndose un resultado seccional del 96,93%, de un total de 326 facturas electrónicas y o documentos soportes recibidas para causación en el mes, 316 cuentas se causaron dentro de los plazos establecidos en el acuerdo de servicios (3 días) equivalente al 96,93%. Como acciones de mejora para incrementar el resultado, se hace seguimiento a los documentos soportes y/ o facturas electrónica, deben contar con orden virtual, orden de compra y/o servicio, contrato aplicado en el sistema.</t>
        </r>
      </text>
    </comment>
    <comment ref="O58" authorId="1" shapeId="0" xr:uid="{00000000-0006-0000-0000-00007B000000}">
      <text>
        <r>
          <rPr>
            <b/>
            <sz val="9"/>
            <color indexed="81"/>
            <rFont val="Tahoma"/>
            <family val="2"/>
          </rPr>
          <t>Gloria A. Sanchez M.:</t>
        </r>
        <r>
          <rPr>
            <sz val="9"/>
            <color indexed="81"/>
            <rFont val="Tahoma"/>
            <family val="2"/>
          </rPr>
          <t xml:space="preserve">
Se cumplió la meta estándar del indicador del 90%, obteniéndose un resultado seccional del 90,66%, de un total de 439 facturas electrónicas y o documentos soportes recibidas para causación en el mes,398 cuentas se causaron dentro de los plazos establecidos en el acuerdo de servicios (3 días) equivalente al 90,66%. Este mes se recibió facturas y o documentos soporte de forma anticipada para el cierre de año 2022. Como acciones de mejora para incrementar el resultado, se hace seguimiento a los documentos soportes y/ o facturas electrónica, deben contar con orden virtual, orden de compra y/o servicio, contrato aplicado en el sistema.</t>
        </r>
      </text>
    </comment>
    <comment ref="P58" authorId="1" shapeId="0" xr:uid="{00000000-0006-0000-0000-00007C000000}">
      <text>
        <r>
          <rPr>
            <b/>
            <sz val="9"/>
            <color indexed="81"/>
            <rFont val="Tahoma"/>
            <family val="2"/>
          </rPr>
          <t>Gloria A. Sanchez M.:</t>
        </r>
        <r>
          <rPr>
            <sz val="9"/>
            <color indexed="81"/>
            <rFont val="Tahoma"/>
            <family val="2"/>
          </rPr>
          <t xml:space="preserve">
Se cumplió la meta estándar del indicador del 90%, obteniéndose un resultado seccional del 91,30%, de un total de 322 facturas electrónicas y o documentos soportes recibidas para causación en el mes,294 cuentas se causaron dentro de los plazos establecidos en el acuerdo de servicios (3 días) equivalente al 91,30%. Este mes se recibió facturas y o documentos soporte de forma anticipada para el cierre de año 2022. Como acciones de mejora para incrementar el resultado, se hace seguimiento a los documentos soportes y/ o facturas electrónica, deben contar con orden virtual, orden de compra y/o servicio, contrato aplicado en el sistema.</t>
        </r>
      </text>
    </comment>
    <comment ref="D60" authorId="0" shapeId="0" xr:uid="{00000000-0006-0000-0000-00007D000000}">
      <text>
        <r>
          <rPr>
            <b/>
            <sz val="9"/>
            <color indexed="81"/>
            <rFont val="Tahoma"/>
            <family val="2"/>
          </rPr>
          <t>Gloria Amparo Sanchez:</t>
        </r>
        <r>
          <rPr>
            <sz val="9"/>
            <color indexed="81"/>
            <rFont val="Tahoma"/>
            <family val="2"/>
          </rPr>
          <t xml:space="preserve">
Indicador: de Gestión Financiera: “DÍAS PROMEDIO PARA EL TRÁMITE DE CUENTAS GIRADAS Y/O PAGADAS (ACUERDO)”, para tener mayor claridad al momento de ingresar la información para este indicador se debe tener en cuenta que se deben contar 17 días hábiles contados a partir del último día del mes a reportar (se incluye texto explicativo en la descripción del mismo). </t>
        </r>
      </text>
    </comment>
    <comment ref="E60" authorId="1" shapeId="0" xr:uid="{00000000-0006-0000-0000-00007E000000}">
      <text>
        <r>
          <rPr>
            <b/>
            <sz val="9"/>
            <color indexed="81"/>
            <rFont val="Tahoma"/>
            <family val="2"/>
          </rPr>
          <t>Gloria A. Sanchez M.:</t>
        </r>
        <r>
          <rPr>
            <sz val="9"/>
            <color indexed="81"/>
            <rFont val="Tahoma"/>
            <family val="2"/>
          </rPr>
          <t xml:space="preserve">
No se cumplió la meta estándar del indicador del 100%, se observa que este indicador no tiene meta definida, se cuenta con un rango bueno del 18,03%, de un total de 122 cuentas giradas dentro de los plazos establecidos 18 días y 30 para devolución de estudiantes, 22 pagos cumplieron, los otros 100 pagos no, por razones como: Periodo de vacaciones colectivas, se causaron en diciembre 2021 y se pagaron a finales de enero de 2022, afectando el indicador.</t>
        </r>
      </text>
    </comment>
    <comment ref="F60" authorId="1" shapeId="0" xr:uid="{00000000-0006-0000-0000-00007F000000}">
      <text>
        <r>
          <rPr>
            <b/>
            <sz val="9"/>
            <color indexed="81"/>
            <rFont val="Tahoma"/>
            <family val="2"/>
          </rPr>
          <t>Gloria A. Sanchez M.:</t>
        </r>
        <r>
          <rPr>
            <sz val="9"/>
            <color indexed="81"/>
            <rFont val="Tahoma"/>
            <family val="2"/>
          </rPr>
          <t xml:space="preserve">
No se cumplió la meta estándar del indicador del 90%, se cuenta con un rango bueno del 75,29%, de un total de 263 cuentas giradas dentro de los plazos establecidos 17 días y 30 para devolución de estudiantes, 198 pagos cumplieron, los otros 65 pagos no, por razones como: Facturas causadas en diciembre 2021 y pendientes de acta de recibido a satisfacción, con cartas de compromiso,afectando el indicador.</t>
        </r>
      </text>
    </comment>
    <comment ref="G60" authorId="1" shapeId="0" xr:uid="{00000000-0006-0000-0000-000080000000}">
      <text>
        <r>
          <rPr>
            <b/>
            <sz val="9"/>
            <color indexed="81"/>
            <rFont val="Tahoma"/>
            <family val="2"/>
          </rPr>
          <t>Gloria A. Sanchez M.:</t>
        </r>
        <r>
          <rPr>
            <sz val="9"/>
            <color indexed="81"/>
            <rFont val="Tahoma"/>
            <family val="2"/>
          </rPr>
          <t xml:space="preserve">
No se cumplió la meta estándar del indicador del 90%, se cuenta con un rango bueno del 87,73%, de un total de 220 cuentas giradas dentro de los plazos establecidos 17 días y 30 para devolución a estudiantes, 193 pagos cumplieron, los otros 27 pagos no, por razones como: Acta pendientes de recibido, el indicador se afecta con las facturas electrónicas radicadas al inicio del mes y sólo se pueden pagar cuando se ha recibido a fin de mes el servicio, como: Servicio vigilancia, Aseo, servicios mantenimiento.</t>
        </r>
      </text>
    </comment>
    <comment ref="H60" authorId="1" shapeId="0" xr:uid="{00000000-0006-0000-0000-000081000000}">
      <text>
        <r>
          <rPr>
            <b/>
            <sz val="9"/>
            <color indexed="81"/>
            <rFont val="Tahoma"/>
            <family val="2"/>
          </rPr>
          <t>Gloria A. Sanchez M.:</t>
        </r>
        <r>
          <rPr>
            <sz val="9"/>
            <color indexed="81"/>
            <rFont val="Tahoma"/>
            <family val="2"/>
          </rPr>
          <t xml:space="preserve">
No se cumplió la meta estándar del indicador del 90%, se cuenta con un rango bueno del 87,12%, de un total de 233 cuentas giradas dentro de los plazos establecidos 17 días y 30 para devolución a estudiantes, 203 pagos cumplieron, los otros 30 pagos no, por razones como: Acta pendientes de recibido, el indicador se afecta con las facturas electrónicas radicadas al inicio del mes y sólo se pueden pagar cuando se ha recibido a fin de mes el servicio, como: Vigilancia, Aseo, servicios mantenimiento.</t>
        </r>
      </text>
    </comment>
    <comment ref="I60" authorId="1" shapeId="0" xr:uid="{00000000-0006-0000-0000-000082000000}">
      <text>
        <r>
          <rPr>
            <b/>
            <sz val="9"/>
            <color indexed="81"/>
            <rFont val="Tahoma"/>
            <family val="2"/>
          </rPr>
          <t>Gloria A. Sanchez M.:</t>
        </r>
        <r>
          <rPr>
            <sz val="9"/>
            <color indexed="81"/>
            <rFont val="Tahoma"/>
            <family val="2"/>
          </rPr>
          <t xml:space="preserve">
Se  cumplió la meta estándar del indicador del 90%, obteniéndose un resultado seccional del 90,59%, de un total de 170 cuentas giradas dentro de los plazos establecidos (18 días y 30 para devolución de estudiantes), 154 pagos cumplieron, los otros 16 pagos no, por razones como: Acta pendientes de recibido, el indicador se afecta con las facturas electrónicas radicadas al inicio del mes y sólo se pueden pagar cuando se ha recibido a satisfacción el servicio al final de mes. ejemplo: Mantenimiento Ascensores, vigilancia privada, servicio de Aseo.</t>
        </r>
      </text>
    </comment>
    <comment ref="J60" authorId="1" shapeId="0" xr:uid="{00000000-0006-0000-0000-000083000000}">
      <text>
        <r>
          <rPr>
            <sz val="9"/>
            <color indexed="81"/>
            <rFont val="Tahoma"/>
            <family val="2"/>
          </rPr>
          <t>Se  cumplió la meta estándar del indicador del 100%, obteniéndose un resultado seccional del 97,99%, de un total de 298 cuentas recibidas para causación en el mes, 292 cuentas se causaron dentro de los plazos establecidos en el acuerdo de servicios (3 días) equivalente al 97,99%. Como acciones de mejora para mejorar el resultado del indicador, se hace seguimiento a los documentos soportes y/ o facturas, deben contar con orden virtual, orden de compra, servicio o contrato aplicado en el sistema.</t>
        </r>
      </text>
    </comment>
    <comment ref="K60" authorId="1" shapeId="0" xr:uid="{00000000-0006-0000-0000-000084000000}">
      <text>
        <r>
          <rPr>
            <b/>
            <sz val="9"/>
            <color indexed="81"/>
            <rFont val="Tahoma"/>
            <family val="2"/>
          </rPr>
          <t>Gloria A. Sanchez M.:</t>
        </r>
        <r>
          <rPr>
            <sz val="9"/>
            <color indexed="81"/>
            <rFont val="Tahoma"/>
            <family val="2"/>
          </rPr>
          <t xml:space="preserve">
Se cumplió la meta estándar del indicador del 90%, obteniéndose un resultado seccional del 90,91%, de un total de 264 cuentas giradas dentro de los plazos establecidos (18 días y 30 para devolución de estudiantes), 240 pagos cumplieron, los otros 24 pagos no, por razones como: Acta pendientes de recibido por partes de las diferentes áreas, el indicador se afecta con las facturas electrónicas radicadas al inicio del mes y sólo se pueden pagar cuando se ha recibido a satisfacción el servicio al final de mes. ejemplo: Mantenimiento Ascensores, vigilancia privada, servicio de Aseo, pagos terceros de nómina.</t>
        </r>
      </text>
    </comment>
    <comment ref="L60" authorId="1" shapeId="0" xr:uid="{00000000-0006-0000-0000-000085000000}">
      <text>
        <r>
          <rPr>
            <b/>
            <sz val="9"/>
            <color indexed="81"/>
            <rFont val="Tahoma"/>
            <family val="2"/>
          </rPr>
          <t>Gloria A. Sanchez M.:</t>
        </r>
        <r>
          <rPr>
            <sz val="9"/>
            <color indexed="81"/>
            <rFont val="Tahoma"/>
            <family val="2"/>
          </rPr>
          <t xml:space="preserve">
No se cumplió la meta estándar del indicador del 90%, pero se cumplió con el rango bueno, obteniéndose un resultado seccional del 86,67%, de un total de 240 cuentas giradas dentro de los plazos establecidos (18 días y 30 para devolución de estudiantes), 208 pagos cumplieron, los otros 32 pagos no, por razones como: Acta pendientes de recibido, aportes a la seguridad social y certificado del revisor fiscal de las empresas jurídicas, el indicador se afecta con las facturas electrónicas radicadas al inicio del mes y sólo se pueden pagar cuando se ha recibido a satisfacción el servicio al final de mes. ejemplo: Mantenimiento Ascensores, plantas, purificadores, servicio de vigilancia privada, servicio de Aseo, como acción de mejora se envió propuesta de ajuste a la sede principal de los indicadores del proceso.</t>
        </r>
      </text>
    </comment>
    <comment ref="M60" authorId="1" shapeId="0" xr:uid="{00000000-0006-0000-0000-000086000000}">
      <text>
        <r>
          <rPr>
            <b/>
            <sz val="9"/>
            <color indexed="81"/>
            <rFont val="Tahoma"/>
            <family val="2"/>
          </rPr>
          <t>Gloria A. Sanchez M.:</t>
        </r>
        <r>
          <rPr>
            <sz val="9"/>
            <color indexed="81"/>
            <rFont val="Tahoma"/>
            <family val="2"/>
          </rPr>
          <t xml:space="preserve">
No se cumplió la meta estándar del indicador del 100%, obteniéndose un resultado seccional del 84,28%, de un total de 388 cuentas giradas dentro de los plazos establecidos (18 días y 30 para devolución de estudiantes y proveedores que dan crédito a 30 días), 327 pagos cumplieron, los otros 61 pagos no, por razones como: Acta pendientes de recibido, aportes a la seguridad social y certificado del revisor fiscal de las empresas jurídicas, el indicador se afecta con las facturas electrónicas radicadas al inicio del mes y sólo se pueden pagar cuando se ha recibido a satisfacción el servicio al final de mes, igual con los proveedores que dan crédito. ejemplo: Mantenimiento Ascensores, plantas, purificadores, servicio de vigilancia privada, servicio de Aseo.
</t>
        </r>
      </text>
    </comment>
    <comment ref="N60" authorId="1" shapeId="0" xr:uid="{00000000-0006-0000-0000-000087000000}">
      <text>
        <r>
          <rPr>
            <b/>
            <sz val="9"/>
            <color indexed="81"/>
            <rFont val="Tahoma"/>
            <family val="2"/>
          </rPr>
          <t>Gloria A. Sanchez M.:</t>
        </r>
        <r>
          <rPr>
            <sz val="9"/>
            <color indexed="81"/>
            <rFont val="Tahoma"/>
            <family val="2"/>
          </rPr>
          <t xml:space="preserve">
No se cumplió la meta estándar del indicador del 100%, obteniéndose un resultado seccional del 69,64%, de un total de 280 cuentas giradas dentro de los plazos establecidos (18 días y 30 para devolución de estudiantes y proveedores que dan crédito a 30 días), 195 pagos cumplieron, los otros 85 pagos no, por razones como: Acta pendientes de recibido, aportes a la seguridad social y certificado del revisor fiscal de las empresas jurídicas, el indicador se afecta con las facturas electrónicas radicadas al inicio del mes y sólo se pueden pagar cuando se ha recibido a satisfacción el servicio al final de mes, igual con los proveedores que dan crédito. ejemplo: Mantenimiento Ascensores, plantas, purificadores, servicio de vigilancia privada, servicio de Aseo.</t>
        </r>
      </text>
    </comment>
    <comment ref="O60" authorId="1" shapeId="0" xr:uid="{00000000-0006-0000-0000-000088000000}">
      <text>
        <r>
          <rPr>
            <b/>
            <sz val="9"/>
            <color indexed="81"/>
            <rFont val="Tahoma"/>
            <family val="2"/>
          </rPr>
          <t>Gloria A. Sanchez M.:</t>
        </r>
        <r>
          <rPr>
            <sz val="9"/>
            <color indexed="81"/>
            <rFont val="Tahoma"/>
            <family val="2"/>
          </rPr>
          <t xml:space="preserve">
No se cumplió la meta estándar del indicador del 90%, obteniéndose un resultado seccional del 85,50%, de un total de 338 cuentas giradas dentro de los plazos establecidos (18 días y 30 para devolución de estudiantes y proveedores que dan crédito a 30 días),289 pagos cumplieron, los otros 49 pagos no, por razones como: Acta pendientes de recibido, aportes a la seguridad social y certificado del revisor fiscal de las empresas jurídicas, el indicador se afecta con las facturas electrónicas radicadas al inicio del mes y sólo se pueden pagar cuando se ha recibido a satisfacción el servicio al final de mes, igual con los proveedores que dan crédito a 30 días. ejemplo: Mantenimiento Ascensores, plantas, purificadores, servicio de vigilancia privada, servicio de Aseo. Las devoluciones de saldo a favor cuentan con un tiempo de 30 días para realizarlas.</t>
        </r>
      </text>
    </comment>
    <comment ref="P60" authorId="1" shapeId="0" xr:uid="{00000000-0006-0000-0000-000089000000}">
      <text>
        <r>
          <rPr>
            <b/>
            <sz val="9"/>
            <color indexed="81"/>
            <rFont val="Tahoma"/>
            <family val="2"/>
          </rPr>
          <t>Gloria A. Sanchez M.:</t>
        </r>
        <r>
          <rPr>
            <sz val="9"/>
            <color indexed="81"/>
            <rFont val="Tahoma"/>
            <family val="2"/>
          </rPr>
          <t xml:space="preserve">
No se cumplió la meta estándar del indicador del 90%, obteniéndose un resultado seccional del 64,31%, de un total de 255 cuentas giradas dentro de los plazos establecidos (18 días y 30 para devolución de estudiantes y proveedores que dan crédito a 30 días),164 pagos cumplieron, los otros 91 pagos no, por razones como: Por cierre de año se recibieron facturas y documentos soportes desde el mes de noviembre y el pago se realizo en diciembre cuando cumplieron el periodo contractual, también por actas pendientes de recibido, aportes a la seguridad social y certificado del revisor fiscal de las empresas jurídicas, el indicador se afecta con las facturas electrónicas radicadas al inicio del mes y sólo se pueden pagar cuando se ha recibido a satisfacción el servicio al final de mes, igual con los proveedores que dan crédito a 30 días. ejemplo: Mantenimiento Ascensores, plantas, purificadores, servicio de vigilancia privada, servicio de Aseo. Las devoluciones de saldo a favor cuentan con un tiempo de 30 días para realizarlas.</t>
        </r>
      </text>
    </comment>
    <comment ref="D62" authorId="0" shapeId="0" xr:uid="{00000000-0006-0000-0000-00008A000000}">
      <text>
        <r>
          <rPr>
            <b/>
            <sz val="9"/>
            <color indexed="81"/>
            <rFont val="Tahoma"/>
            <family val="2"/>
          </rPr>
          <t>Gloria Amparo Sanchez:</t>
        </r>
        <r>
          <rPr>
            <sz val="9"/>
            <color indexed="81"/>
            <rFont val="Tahoma"/>
            <family val="2"/>
          </rPr>
          <t xml:space="preserve">
Rango bueno: 11% - 14%</t>
        </r>
      </text>
    </comment>
    <comment ref="E62" authorId="1" shapeId="0" xr:uid="{00000000-0006-0000-0000-00008B000000}">
      <text>
        <r>
          <rPr>
            <b/>
            <sz val="9"/>
            <color indexed="81"/>
            <rFont val="Tahoma"/>
            <family val="2"/>
          </rPr>
          <t>Gloria A. Sanchez M.:</t>
        </r>
        <r>
          <rPr>
            <sz val="9"/>
            <color indexed="81"/>
            <rFont val="Tahoma"/>
            <family val="2"/>
          </rPr>
          <t xml:space="preserve">
Para el año 2022 este indicador no se cumplió, por la variación del precio del dolar se incremento la inversión. El valor del presupuesto total de inversión aprobado fue de 1.830 millones, el valor del total del presupuesto de inversión modificado fue de 2.490 y la adición de recursos de capital fue de 0</t>
        </r>
      </text>
    </comment>
    <comment ref="D63" authorId="0" shapeId="0" xr:uid="{00000000-0006-0000-0000-00008C000000}">
      <text>
        <r>
          <rPr>
            <b/>
            <sz val="9"/>
            <color indexed="81"/>
            <rFont val="Tahoma"/>
            <family val="2"/>
          </rPr>
          <t>Gloria Amparo Sanchez:</t>
        </r>
        <r>
          <rPr>
            <sz val="9"/>
            <color indexed="81"/>
            <rFont val="Tahoma"/>
            <family val="2"/>
          </rPr>
          <t xml:space="preserve">
RANGO BUENO: 11% - 14%</t>
        </r>
      </text>
    </comment>
    <comment ref="E63" authorId="1" shapeId="0" xr:uid="{00000000-0006-0000-0000-00008D000000}">
      <text>
        <r>
          <rPr>
            <b/>
            <sz val="9"/>
            <color indexed="81"/>
            <rFont val="Tahoma"/>
            <family val="2"/>
          </rPr>
          <t>Gloria A. Sanchez M.:</t>
        </r>
        <r>
          <rPr>
            <sz val="9"/>
            <color indexed="81"/>
            <rFont val="Tahoma"/>
            <family val="2"/>
          </rPr>
          <t xml:space="preserve">
2022: Se cumple el indicador de precisión del presupuesto del gasto al estar por debajo del 10%. El valor del presupuesto total de gastos aprobado fue de 39.769 millones, el valor del total del presupuesto de gastos modificado fue de 39.728 millones, no hubo adiciones de recursos de capital</t>
        </r>
      </text>
    </comment>
    <comment ref="D64" authorId="0" shapeId="0" xr:uid="{00000000-0006-0000-0000-00008E000000}">
      <text>
        <r>
          <rPr>
            <b/>
            <sz val="9"/>
            <color indexed="81"/>
            <rFont val="Tahoma"/>
            <family val="2"/>
          </rPr>
          <t>Gloria Amparo Sanchez:</t>
        </r>
        <r>
          <rPr>
            <sz val="9"/>
            <color indexed="81"/>
            <rFont val="Tahoma"/>
            <family val="2"/>
          </rPr>
          <t xml:space="preserve">
rango bueno:  4% - 5%</t>
        </r>
      </text>
    </comment>
    <comment ref="E64" authorId="1" shapeId="0" xr:uid="{00000000-0006-0000-0000-00008F000000}">
      <text>
        <r>
          <rPr>
            <b/>
            <sz val="9"/>
            <color indexed="81"/>
            <rFont val="Tahoma"/>
            <family val="2"/>
          </rPr>
          <t>Gloria A. Sanchez M.:</t>
        </r>
        <r>
          <rPr>
            <sz val="9"/>
            <color indexed="81"/>
            <rFont val="Tahoma"/>
            <family val="2"/>
          </rPr>
          <t xml:space="preserve">
Año 2022: Se cumplió la meta nacional " no superar el 3% de variación entre el presupuesto aprobado y el aprobado", se presento una variación del 1.2%.</t>
        </r>
      </text>
    </comment>
    <comment ref="D65" authorId="0" shapeId="0" xr:uid="{00000000-0006-0000-0000-000090000000}">
      <text>
        <r>
          <rPr>
            <b/>
            <sz val="9"/>
            <color indexed="81"/>
            <rFont val="Tahoma"/>
            <family val="2"/>
          </rPr>
          <t>Gloria Amparo Sanchez:</t>
        </r>
        <r>
          <rPr>
            <sz val="9"/>
            <color indexed="81"/>
            <rFont val="Tahoma"/>
            <family val="2"/>
          </rPr>
          <t xml:space="preserve">
Controlar el comportamiento de la recuperación de cartera de lo que la Universidad Libre financia directamente, con el fin de analizar y mejorar la gestión de cobros y evitar saldos antiguos</t>
        </r>
      </text>
    </comment>
    <comment ref="E65" authorId="1" shapeId="0" xr:uid="{00000000-0006-0000-0000-000091000000}">
      <text>
        <r>
          <rPr>
            <b/>
            <sz val="9"/>
            <color indexed="81"/>
            <rFont val="Tahoma"/>
            <family val="2"/>
          </rPr>
          <t>Gloria A. Sanchez M.:</t>
        </r>
        <r>
          <rPr>
            <sz val="9"/>
            <color indexed="81"/>
            <rFont val="Tahoma"/>
            <family val="2"/>
          </rPr>
          <t xml:space="preserve">
AÑO 2022: Se cumple la meta nacional con un porcentaje de cumplimiento del 92.76%, el valor de los créditos directos otorgados en el período fue de $1.470.918.660 y el valor de los créditos directos recaudados fue de $1.364.482.067, de acuerdo al resultado anterior, la seccional tuvo una leve mejoría respecto al año anterior y siempre cumpliendo las metas. Se continuó con el proceso de cobro que se implementó en la época de cuarentena. Es importante informar que ya se iniciaron todos los proceso de cobro con los estudiantes que están en mora.</t>
        </r>
      </text>
    </comment>
    <comment ref="D66" authorId="0" shapeId="0" xr:uid="{00000000-0006-0000-0000-000092000000}">
      <text>
        <r>
          <rPr>
            <b/>
            <sz val="9"/>
            <color indexed="81"/>
            <rFont val="Tahoma"/>
            <family val="2"/>
          </rPr>
          <t>Gloria Amparo Sanchez:</t>
        </r>
        <r>
          <rPr>
            <sz val="9"/>
            <color indexed="81"/>
            <rFont val="Tahoma"/>
            <family val="2"/>
          </rPr>
          <t xml:space="preserve">
Controlar los créditos y montos a través de Financieras e ICETEX, con el fin de evidenciar cuantos estudiantes pasan a través de créditos indirectos y evitar que se presenten saldos antiguos.</t>
        </r>
      </text>
    </comment>
    <comment ref="E66" authorId="1" shapeId="0" xr:uid="{00000000-0006-0000-0000-000093000000}">
      <text>
        <r>
          <rPr>
            <b/>
            <sz val="9"/>
            <color indexed="81"/>
            <rFont val="Tahoma"/>
            <family val="2"/>
          </rPr>
          <t>Gloria A. Sanchez M.:</t>
        </r>
        <r>
          <rPr>
            <sz val="9"/>
            <color indexed="81"/>
            <rFont val="Tahoma"/>
            <family val="2"/>
          </rPr>
          <t xml:space="preserve">
Se supera la meta estándar nacional (90%), en la seccional se obtuvo un resultado del 94.27%, el valor total de los créditos otorgados por las entidades financieras fue de $3.007.844.460 y el valor total recaudado fue del 94.27%. En la Seccional se tienen controlados los créditos y monto a través de Financieras e ICETEX, es importante resaltar que los métodos de trabajo utilizados durante la vigencia 2021 por incumplimiento del ICETEX al convenio con la Universidad en la cláusula 7a. del contrato 2013-0537: se continúan implementando las acciones del período anterior. La diferencia entre el resultado obtenido y el 100%, corresponde al crédito de 51 estudiantes que no fueron desembolsados por el Icetex en el período 2022-1 y de los cuales ya iniciamos el proceso de apoyo con esta entidad para lograr recuperar no solo el dinero sino más importante aún, al estudiante. El 38% de la cartera pendiente por recaudar, pertenece a posgrado, y es de tener en cuenta que ellos manejas fechas distintas en desembolsos y calendario académico ante el ICETEX. Este ultimo se reactivo un poco mas a finales del periodo.</t>
        </r>
      </text>
    </comment>
    <comment ref="K66" authorId="1" shapeId="0" xr:uid="{00000000-0006-0000-0000-000094000000}">
      <text>
        <r>
          <rPr>
            <b/>
            <sz val="9"/>
            <color indexed="81"/>
            <rFont val="Tahoma"/>
            <family val="2"/>
          </rPr>
          <t>Gloria A. Sanchez M.:</t>
        </r>
        <r>
          <rPr>
            <sz val="9"/>
            <color indexed="81"/>
            <rFont val="Tahoma"/>
            <family val="2"/>
          </rPr>
          <t xml:space="preserve">
Se supera la meta estándar nacional (90%), en la seccional se obtuvo un resultado del 99.05%, el valor total de los créditos otorgados por las entidades financieras fue de $2.425.483.359 y el valor total recaudado fue $2.402.422.681.00 lo que corresponde a un 99.05% En la Seccional se tienen controlados los créditos y monto a través de Financieras e ICETEX, es importante resaltar que los métodos de trabajo utilizados durante la vigencia 2021 por incumplimiento del ICETEX al convenio con la Universidad en la cláusula 7a. del contrato 2013-0537: se continúan implementando las acciones del período anterior.
La diferencia entre el resultado obtenido y el 100%, corresponde a 08 créditos, seis de ellos son FONDOS ESPECIALES del Icetex de los cuales ya iniciamos el proceso de apoyo con esta entidad para lograr recuperar no solo el dinero sino más importante aún, al estudiante.</t>
        </r>
      </text>
    </comment>
    <comment ref="E67" authorId="1" shapeId="0" xr:uid="{00000000-0006-0000-0000-000095000000}">
      <text>
        <r>
          <rPr>
            <b/>
            <sz val="9"/>
            <color indexed="81"/>
            <rFont val="Tahoma"/>
            <family val="2"/>
          </rPr>
          <t>Gloria A. Sanchez M.:</t>
        </r>
        <r>
          <rPr>
            <sz val="9"/>
            <color indexed="81"/>
            <rFont val="Tahoma"/>
            <family val="2"/>
          </rPr>
          <t xml:space="preserve">
Se entregaron los 4 estados financieros obligatorios y 1 adicional solicitado por la sede principal. Aprobados por la revisoria fiscal.</t>
        </r>
      </text>
    </comment>
    <comment ref="D68" authorId="0" shapeId="0" xr:uid="{00000000-0006-0000-0000-000096000000}">
      <text>
        <r>
          <rPr>
            <b/>
            <sz val="9"/>
            <color indexed="81"/>
            <rFont val="Tahoma"/>
            <family val="2"/>
          </rPr>
          <t>Gloria Amparo Sanchez:</t>
        </r>
        <r>
          <rPr>
            <sz val="9"/>
            <color indexed="81"/>
            <rFont val="Tahoma"/>
            <family val="2"/>
          </rPr>
          <t xml:space="preserve">
RANGO BUENO:  90% - 80%</t>
        </r>
      </text>
    </comment>
    <comment ref="E68" authorId="1" shapeId="0" xr:uid="{00000000-0006-0000-0000-000097000000}">
      <text>
        <r>
          <rPr>
            <b/>
            <sz val="9"/>
            <color indexed="81"/>
            <rFont val="Tahoma"/>
            <family val="2"/>
          </rPr>
          <t>Gloria A. Sanchez M.:</t>
        </r>
        <r>
          <rPr>
            <sz val="9"/>
            <color indexed="81"/>
            <rFont val="Tahoma"/>
            <family val="2"/>
          </rPr>
          <t xml:space="preserve">
TRIMESTRE I: Se recibieron 468 solicitudes en el primer trimestre del año 2022, las 28 solicitudes que no se lograron tramitar en el tiempo establecido son por movimientos presupuestales o actividades que no estaban incluida en el plan de acción de los centros de costos. Cumpliendo con el estándar nacional del 90%</t>
        </r>
      </text>
    </comment>
    <comment ref="H68" authorId="1" shapeId="0" xr:uid="{00000000-0006-0000-0000-000098000000}">
      <text>
        <r>
          <rPr>
            <b/>
            <sz val="9"/>
            <color indexed="81"/>
            <rFont val="Tahoma"/>
            <family val="2"/>
          </rPr>
          <t>Gloria A. Sanchez M.:</t>
        </r>
        <r>
          <rPr>
            <sz val="9"/>
            <color indexed="81"/>
            <rFont val="Tahoma"/>
            <family val="2"/>
          </rPr>
          <t xml:space="preserve">
TRIMESTRE II: Se recibieron 641 solicitudes en el segundo trimestre del año 2022, las 22 solicitudes que no se lograron tramitar en el tiempo establecido son por movimientos presupuestales o actividades que no estaban incluida en el plan de acción de los centros de costos. Cumpliendo con el estándar nacional del 96.57%</t>
        </r>
      </text>
    </comment>
    <comment ref="K68" authorId="1" shapeId="0" xr:uid="{00000000-0006-0000-0000-000099000000}">
      <text>
        <r>
          <rPr>
            <b/>
            <sz val="9"/>
            <color indexed="81"/>
            <rFont val="Tahoma"/>
            <family val="2"/>
          </rPr>
          <t>Gloria A. Sanchez M.:</t>
        </r>
        <r>
          <rPr>
            <sz val="9"/>
            <color indexed="81"/>
            <rFont val="Tahoma"/>
            <family val="2"/>
          </rPr>
          <t xml:space="preserve">
TRIMESTRE III: Se recibieron 650 solicitudes en el tercer trimestre del año 2022, las 25 solicitudes que no se lograron tramitar en el tiempo establecido son por movimientos presupuestales o actividades que no estaban incluida en el plan de acción de los centros de costos. Cumpliendo con el estándar nacional del 96.17%</t>
        </r>
      </text>
    </comment>
    <comment ref="N68" authorId="1" shapeId="0" xr:uid="{00000000-0006-0000-0000-00009A000000}">
      <text>
        <r>
          <rPr>
            <b/>
            <sz val="9"/>
            <color indexed="81"/>
            <rFont val="Tahoma"/>
            <family val="2"/>
          </rPr>
          <t>Gloria A. Sanchez M.:</t>
        </r>
        <r>
          <rPr>
            <sz val="9"/>
            <color indexed="81"/>
            <rFont val="Tahoma"/>
            <family val="2"/>
          </rPr>
          <t xml:space="preserve">
TRIMESTRE IV: Se recibieron 652 solicitudes en el cuarto trimestre del año 2022, las 18 solicitudes que no se lograron tramitar en el tiempo establecido son por movimientos presupuestales o actividades que no estaban incluida en el plan de acción de los centros de costos. Cumpliendo con el estándar nacional del 97.24%
</t>
        </r>
      </text>
    </comment>
    <comment ref="D74" authorId="0" shapeId="0" xr:uid="{00000000-0006-0000-0000-00009B000000}">
      <text>
        <r>
          <rPr>
            <b/>
            <sz val="9"/>
            <color indexed="81"/>
            <rFont val="Tahoma"/>
            <family val="2"/>
          </rPr>
          <t>Gloria Amparo Sanchez:</t>
        </r>
        <r>
          <rPr>
            <sz val="9"/>
            <color indexed="81"/>
            <rFont val="Tahoma"/>
            <family val="2"/>
          </rPr>
          <t xml:space="preserve">
RANGO BUENO: 80%-96,9%
Monitorear el cumplimiento del acuerdo de servicio de entrega de las Certificaciones Laborales en los tiempos establecidos para cada caso. excluyendo la certificaciones Electrónicas generadas por Kactus</t>
        </r>
      </text>
    </comment>
    <comment ref="E74" authorId="1" shapeId="0" xr:uid="{00000000-0006-0000-0000-00009C000000}">
      <text>
        <r>
          <rPr>
            <b/>
            <sz val="9"/>
            <color indexed="81"/>
            <rFont val="Tahoma"/>
            <family val="2"/>
          </rPr>
          <t>Gloria A. Sanchez M.:</t>
        </r>
        <r>
          <rPr>
            <sz val="9"/>
            <color indexed="81"/>
            <rFont val="Tahoma"/>
            <family val="2"/>
          </rPr>
          <t xml:space="preserve">
Se cumplió la meta estándar nacional, obteniendo el proceso un resultado de 98.92%, de un total de 93 solicitudes 92 fueron contestadas dentro del tiempo establecido en el acuerdo de servicios.</t>
        </r>
      </text>
    </comment>
    <comment ref="D75" authorId="0" shapeId="0" xr:uid="{00000000-0006-0000-0000-00009D000000}">
      <text>
        <r>
          <rPr>
            <b/>
            <sz val="9"/>
            <color indexed="81"/>
            <rFont val="Tahoma"/>
            <family val="2"/>
          </rPr>
          <t>Gloria Amparo Sanchez:</t>
        </r>
        <r>
          <rPr>
            <sz val="9"/>
            <color indexed="81"/>
            <rFont val="Tahoma"/>
            <family val="2"/>
          </rPr>
          <t xml:space="preserve">
RANGO BUENO: 70%-79,9%</t>
        </r>
      </text>
    </comment>
    <comment ref="D76" authorId="0" shapeId="0" xr:uid="{00000000-0006-0000-0000-00009E000000}">
      <text>
        <r>
          <rPr>
            <b/>
            <sz val="9"/>
            <color indexed="81"/>
            <rFont val="Tahoma"/>
            <family val="2"/>
          </rPr>
          <t>Gloria Amparo Sanchez:</t>
        </r>
        <r>
          <rPr>
            <sz val="9"/>
            <color indexed="81"/>
            <rFont val="Tahoma"/>
            <family val="2"/>
          </rPr>
          <t xml:space="preserve">
RANGO BUENO:  70%-79,9%</t>
        </r>
      </text>
    </comment>
    <comment ref="E76" authorId="1" shapeId="0" xr:uid="{00000000-0006-0000-0000-00009F000000}">
      <text>
        <r>
          <rPr>
            <b/>
            <sz val="9"/>
            <color indexed="81"/>
            <rFont val="Tahoma"/>
            <family val="2"/>
          </rPr>
          <t>Gloria A. Sanchez M.:</t>
        </r>
        <r>
          <rPr>
            <sz val="9"/>
            <color indexed="81"/>
            <rFont val="Tahoma"/>
            <family val="2"/>
          </rPr>
          <t xml:space="preserve">
Se evaluó la evaluación de desempeño del período 2021: Se cumplió con el indicador frente a la población evaluada, de un total de 134 trabajadores evaluados, 132 obtuvieron una calificación mayor de 70 puntos en la evaluación del desempeño, obteniéndose un 98,51% de cumplimiento.</t>
        </r>
      </text>
    </comment>
    <comment ref="D77" authorId="0" shapeId="0" xr:uid="{00000000-0006-0000-0000-0000A0000000}">
      <text>
        <r>
          <rPr>
            <b/>
            <sz val="9"/>
            <color indexed="81"/>
            <rFont val="Tahoma"/>
            <family val="2"/>
          </rPr>
          <t>Gloria Amparo Sanchez:</t>
        </r>
        <r>
          <rPr>
            <sz val="9"/>
            <color indexed="81"/>
            <rFont val="Tahoma"/>
            <family val="2"/>
          </rPr>
          <t xml:space="preserve">
RANGO BUENO: 80%-89%</t>
        </r>
      </text>
    </comment>
    <comment ref="D82" authorId="1" shapeId="0" xr:uid="{00000000-0006-0000-0000-0000A1000000}">
      <text>
        <r>
          <rPr>
            <b/>
            <sz val="9"/>
            <color indexed="81"/>
            <rFont val="Tahoma"/>
            <family val="2"/>
          </rPr>
          <t>Gloria A. Sanchez M.:</t>
        </r>
        <r>
          <rPr>
            <sz val="9"/>
            <color indexed="81"/>
            <rFont val="Tahoma"/>
            <family val="2"/>
          </rPr>
          <t xml:space="preserve">
Determinar el grado de cumplimiento de los temas críticos de capacitación</t>
        </r>
      </text>
    </comment>
    <comment ref="E82" authorId="2" shapeId="0" xr:uid="{00000000-0006-0000-0000-0000A2000000}">
      <text>
        <r>
          <rPr>
            <b/>
            <sz val="9"/>
            <color indexed="81"/>
            <rFont val="Tahoma"/>
            <family val="2"/>
          </rPr>
          <t>Gloria A:</t>
        </r>
        <r>
          <rPr>
            <sz val="9"/>
            <color indexed="81"/>
            <rFont val="Tahoma"/>
            <family val="2"/>
          </rPr>
          <t xml:space="preserve">
AÑO 2022: Se cumplió la meta estándar nacional 100% o superior de cumplimiento al plan de formación. Se programaron y realizaron 8 capacitaciones equivalente al 100%. Éstas corresponden a las programadas y realizadas por la Dirección de Gestión Humana a saber: 1. Nueva mesa de ayuda de sistemas; 2. Taller de ortografía y técnicas de redacción; 3. Servicio al cliente; 4. Habilidades comunicativas; 5. Planeación y cultura financiera en el hogar; 6. Alimentación sana y hábitos saludables; 7. Lo que debes saber del sistema general de seguridad social en pensiones; 8. Manejo de la información personal</t>
        </r>
      </text>
    </comment>
    <comment ref="D83" authorId="1" shapeId="0" xr:uid="{00000000-0006-0000-0000-0000A3000000}">
      <text>
        <r>
          <rPr>
            <b/>
            <sz val="9"/>
            <color indexed="81"/>
            <rFont val="Tahoma"/>
            <family val="2"/>
          </rPr>
          <t>Gloria A. Sanchez M.:</t>
        </r>
        <r>
          <rPr>
            <sz val="9"/>
            <color indexed="81"/>
            <rFont val="Tahoma"/>
            <family val="2"/>
          </rPr>
          <t xml:space="preserve">
Determinar el porcentaje de personas vinculadas que cumplieron con los perfiles requeridos, para el cubrimiento de los diferentes cargos, garantizando que el personal sea idóneo para ellos.</t>
        </r>
      </text>
    </comment>
    <comment ref="E84" authorId="1" shapeId="0" xr:uid="{00000000-0006-0000-0000-0000A4000000}">
      <text>
        <r>
          <rPr>
            <b/>
            <sz val="9"/>
            <color indexed="81"/>
            <rFont val="Tahoma"/>
            <family val="2"/>
          </rPr>
          <t>Gloria A. Sanchez M.:</t>
        </r>
        <r>
          <rPr>
            <sz val="9"/>
            <color indexed="81"/>
            <rFont val="Tahoma"/>
            <family val="2"/>
          </rPr>
          <t xml:space="preserve">
2022-1: Se cumplió la meta estándar nacional, la seccional obtuvo un resultado del 10%, de un total de 10 trabajadores vinculados durante el primer semestre del año 2022, 9 cumplieron con el perfil, las vinculaciones fueron:
Nathalia Puerta Mejía - Coordinadora del Programa de Permanencia con Calidad Bienestar
Brenda Natalia Murillo Chará - Técnico Administrativo III Dirección Financiera
Valeria Sánchez Patiño - Técnico Administrativo III Dirección Financiera
Laura Daniela Loaiza Hernández - Técnico Administrativo II Posgrados
Luis Cristóbal Ospina Montoya - Rector Seccional
Adriana Felissa Guzmán Maya - Coordinadora de Gestión Ambiental
Widian Guasarabe Osorio - Auxiliar III de Servicios Generales
Alejandro Giraldo Maya - Profesional Universitario II Secretaría Seccional
Manuel Fernando Vanegas Vásquez - Técnico Administrativo III Dirección Financiera
Ángela María Arias Toro - Coordinadora de la Oficina de Relaciones Interinstitucionales (ORI)</t>
        </r>
      </text>
    </comment>
    <comment ref="K84" authorId="2" shapeId="0" xr:uid="{00000000-0006-0000-0000-0000A5000000}">
      <text>
        <r>
          <rPr>
            <b/>
            <sz val="9"/>
            <color indexed="81"/>
            <rFont val="Tahoma"/>
            <family val="2"/>
          </rPr>
          <t>Gloria A:</t>
        </r>
        <r>
          <rPr>
            <sz val="9"/>
            <color indexed="81"/>
            <rFont val="Tahoma"/>
            <family val="2"/>
          </rPr>
          <t xml:space="preserve">
2022-2: Se cumplió la meta estándar nacional, la seccional obtuvo un resultado del 100%, de un total de 2 trabajadores vinculados durante el segundo semestre del año 2022, 2 cumplieron con el perfil, las vinculaciones fueron:
Dora Lilia Montoya Agudelo - Aseadora y oficios varios.
Deisy Catalina Rojas Zambrano - Técnico Administrativo III Dirección Financiera</t>
        </r>
      </text>
    </comment>
    <comment ref="E86" authorId="2" shapeId="0" xr:uid="{00000000-0006-0000-0000-0000A6000000}">
      <text>
        <r>
          <rPr>
            <b/>
            <sz val="9"/>
            <color indexed="81"/>
            <rFont val="Tahoma"/>
            <family val="2"/>
          </rPr>
          <t>Gloria A:</t>
        </r>
        <r>
          <rPr>
            <sz val="9"/>
            <color indexed="81"/>
            <rFont val="Tahoma"/>
            <family val="2"/>
          </rPr>
          <t xml:space="preserve">
Desde el área de Gestión Humana se adoptó una estrategia de austeridad del gasto, y se proyectó un plan de capacitación con el apoyo del departamento de Sistemas de la Universidad, del área de Bienestar Universitario y de las cuatro Facultades. De tal forma que, las actividades de inducción y reinducción fueran pertinentes, con gran aporte para el talento humano pero sin generar costos para la Institución.</t>
        </r>
      </text>
    </comment>
    <comment ref="E87" authorId="1" shapeId="0" xr:uid="{00000000-0006-0000-0000-0000A7000000}">
      <text>
        <r>
          <rPr>
            <b/>
            <sz val="9"/>
            <color indexed="81"/>
            <rFont val="Tahoma"/>
            <family val="2"/>
          </rPr>
          <t>Gloria A. Sanchez M.:</t>
        </r>
        <r>
          <rPr>
            <sz val="9"/>
            <color indexed="81"/>
            <rFont val="Tahoma"/>
            <family val="2"/>
          </rPr>
          <t xml:space="preserve">
En el primer trimestre del año 2022 se dictaron 2 capacitaciones y/o reinducciones a saber:
NUEVA MESA DE AYUDA DE SISTEMAS: Se convocaron 144 personas y asistieron 105, esto es, un 72%
TALLER DE ORTOGRAFÍAY TÉCNICAS DE REDACCIÓN: Se convocaron 144 personas y asistieron 136, esto es, un 94%</t>
        </r>
      </text>
    </comment>
    <comment ref="H87" authorId="1" shapeId="0" xr:uid="{00000000-0006-0000-0000-0000A8000000}">
      <text>
        <r>
          <rPr>
            <b/>
            <sz val="9"/>
            <color indexed="81"/>
            <rFont val="Tahoma"/>
            <family val="2"/>
          </rPr>
          <t>Gloria A. Sanchez M.:</t>
        </r>
        <r>
          <rPr>
            <sz val="9"/>
            <color indexed="81"/>
            <rFont val="Tahoma"/>
            <family val="2"/>
          </rPr>
          <t xml:space="preserve">
En el segundo trimestre del año 2022 se dictaron 2 capacitaciones y/o reinducciones a saber:
SERVICIO AL CLIENTE: Se convocaron 144 personas y asistieron 109, esto es, un 75%
HABILIDADES COMUNICATIVAS: Se inscribieron 30 personas y asistieron 25, esto es, un 83%
PLANEACIÓN Y CULTURA FINANCIERA EN EL HOGAR: Se convocaron 144 personas y asistieron 100, esto es, un 69%</t>
        </r>
      </text>
    </comment>
    <comment ref="K87" authorId="1" shapeId="0" xr:uid="{00000000-0006-0000-0000-0000A9000000}">
      <text>
        <r>
          <rPr>
            <b/>
            <sz val="9"/>
            <color indexed="81"/>
            <rFont val="Tahoma"/>
            <family val="2"/>
          </rPr>
          <t>Gloria A. Sanchez M.:</t>
        </r>
        <r>
          <rPr>
            <sz val="9"/>
            <color indexed="81"/>
            <rFont val="Tahoma"/>
            <family val="2"/>
          </rPr>
          <t xml:space="preserve">
En el tercer trimestre del año 2022 se dictaron 2 capacitaciones y/o reinducciones a saber:
ALIMENTACIÓN SANA - HABITOS SALUDABLES: Se convocaron 144 personas y asistieron 80, esto es, un 55%
SISTEMA GENERAL DE SEGURIDAD SOCIAL EN PENSIONES: Se convocaron 144 personas y asistieron 113, esto es, un 78%</t>
        </r>
      </text>
    </comment>
    <comment ref="N87" authorId="2" shapeId="0" xr:uid="{00000000-0006-0000-0000-0000AA000000}">
      <text>
        <r>
          <rPr>
            <b/>
            <sz val="9"/>
            <color indexed="81"/>
            <rFont val="Tahoma"/>
            <family val="2"/>
          </rPr>
          <t>Gloria A:</t>
        </r>
        <r>
          <rPr>
            <sz val="9"/>
            <color indexed="81"/>
            <rFont val="Tahoma"/>
            <family val="2"/>
          </rPr>
          <t xml:space="preserve">
En el cuarto trimestre del año 2022 se dictó 1 capacitación a saber:
MANEJO DE LA INFORMACIÓN PERSONAL: Se convocaron 144 personas y asistieron 108, esto es, un 75%</t>
        </r>
      </text>
    </comment>
    <comment ref="E89" authorId="1" shapeId="0" xr:uid="{00000000-0006-0000-0000-0000AB000000}">
      <text>
        <r>
          <rPr>
            <b/>
            <sz val="9"/>
            <color indexed="81"/>
            <rFont val="Tahoma"/>
            <family val="2"/>
          </rPr>
          <t>Gloria A. Sanchez M.:</t>
        </r>
        <r>
          <rPr>
            <sz val="9"/>
            <color indexed="81"/>
            <rFont val="Tahoma"/>
            <family val="2"/>
          </rPr>
          <t xml:space="preserve">
Durante el primer trimestre del año 2022, se dictaron dos capacitaciones a saber: Nueva Mesa de Ayuda y Taller de Ortografía. Las cuales por la aplicabilidad del tema respecto al cargo que desempeñan los asistentes en la Institución; por ser los temas abordados acordes con los objetivos y las expectativas; por ser el material utilizado por el expositor claro y útil; por el conocimiento, claridad y calidad del expositor, fueron evaluadas satisfactoriamente.
</t>
        </r>
      </text>
    </comment>
    <comment ref="H89" authorId="1" shapeId="0" xr:uid="{00000000-0006-0000-0000-0000AC000000}">
      <text>
        <r>
          <rPr>
            <b/>
            <sz val="9"/>
            <color indexed="81"/>
            <rFont val="Tahoma"/>
            <family val="2"/>
          </rPr>
          <t>Gloria A. Sanchez M.:</t>
        </r>
        <r>
          <rPr>
            <sz val="9"/>
            <color indexed="81"/>
            <rFont val="Tahoma"/>
            <family val="2"/>
          </rPr>
          <t xml:space="preserve">
Durante el segundo trimestre del año 2022, se dictaron tres capacitaciones a saber: Servicio al cliente, Habilidades Comunicativas y Planeación y Cultura Financiera en el Hogar. Las cuales por la aplicabilidad del tema respecto al cargo que desempeñan los asistentes en la Institución; por ser los temas abordados acordes con los objetivos y las expectativas; por ser el material utilizado por el expositor claro y útil; por el conocimiento, claridad y calidad del expositor, fueron evaluadas satisfactoriamente.</t>
        </r>
      </text>
    </comment>
    <comment ref="K89" authorId="1" shapeId="0" xr:uid="{00000000-0006-0000-0000-0000AD000000}">
      <text>
        <r>
          <rPr>
            <b/>
            <sz val="9"/>
            <color indexed="81"/>
            <rFont val="Tahoma"/>
            <family val="2"/>
          </rPr>
          <t>Gloria A. Sanchez M.:</t>
        </r>
        <r>
          <rPr>
            <sz val="9"/>
            <color indexed="81"/>
            <rFont val="Tahoma"/>
            <family val="2"/>
          </rPr>
          <t xml:space="preserve">
Durante el tercer trimestre del año 2022, se dictaron dos capacitaciones a saber: Habitos Saludables y Seguridad Social en Pensiones. Las cuales por la aplicabilidad del tema respecto al cargo que desempeñan los asistentes en la Institución; por ser los temas abordados acordes con los objetivos y las expectativas; por ser el material utilizado por el expositor claro y útil; por el conocimiento, claridad y calidad del expositor, fueron evaluadas satisfactoriamente.</t>
        </r>
      </text>
    </comment>
    <comment ref="N89" authorId="2" shapeId="0" xr:uid="{00000000-0006-0000-0000-0000AE000000}">
      <text>
        <r>
          <rPr>
            <b/>
            <sz val="9"/>
            <color indexed="81"/>
            <rFont val="Tahoma"/>
            <family val="2"/>
          </rPr>
          <t>Gloria A:</t>
        </r>
        <r>
          <rPr>
            <sz val="9"/>
            <color indexed="81"/>
            <rFont val="Tahoma"/>
            <family val="2"/>
          </rPr>
          <t xml:space="preserve">
Durante el cuarto trimestre del año 2022, se dictó una capacitación a saber: Manejo de la Información Personal. La cual por la aplicabilidad del tema respecto al cargo que desempeñan los asistentes en la Institución; por ser los temas abordados acordes con los objetivos y las expectativas; por ser el material utilizado por el expositor claro y útil; por el conocimiento, claridad y calidad del expositor, fue evaluada satisfactoriamente.</t>
        </r>
      </text>
    </comment>
    <comment ref="E91" authorId="1" shapeId="0" xr:uid="{00000000-0006-0000-0000-0000AF000000}">
      <text>
        <r>
          <rPr>
            <b/>
            <sz val="9"/>
            <color indexed="81"/>
            <rFont val="Tahoma"/>
            <family val="2"/>
          </rPr>
          <t>Gloria A. Sanchez M.:</t>
        </r>
        <r>
          <rPr>
            <sz val="9"/>
            <color indexed="81"/>
            <rFont val="Tahoma"/>
            <family val="2"/>
          </rPr>
          <t xml:space="preserve">
En el periodo comprendido de enero a diciembre de 2022 no se presentaron casos de EL, ni fueron detectados casos de años anteriores. El promedio de trabajadores al año fue de 1081.</t>
        </r>
      </text>
    </comment>
    <comment ref="E92" authorId="3" shapeId="0" xr:uid="{00000000-0006-0000-0000-0000B0000000}">
      <text>
        <r>
          <rPr>
            <b/>
            <sz val="9"/>
            <color indexed="81"/>
            <rFont val="Tahoma"/>
            <family val="2"/>
          </rPr>
          <t>Docente:</t>
        </r>
        <r>
          <rPr>
            <sz val="9"/>
            <color indexed="81"/>
            <rFont val="Tahoma"/>
            <family val="2"/>
          </rPr>
          <t xml:space="preserve">
El índice de ausentismo para el mes de enero fue de 316%. teniendo en cuenta que se presentaron 38 días de ausencia del algunos trabajadores por enfermedad común, frente a 12 días programados para laborar en este mes, no se evidencia incapacidad por origen laboral.</t>
        </r>
      </text>
    </comment>
    <comment ref="F92" authorId="1" shapeId="0" xr:uid="{00000000-0006-0000-0000-0000B1000000}">
      <text>
        <r>
          <rPr>
            <b/>
            <sz val="9"/>
            <color indexed="81"/>
            <rFont val="Tahoma"/>
            <family val="2"/>
          </rPr>
          <t>Gloria A. Sanchez M.:</t>
        </r>
        <r>
          <rPr>
            <sz val="9"/>
            <color indexed="81"/>
            <rFont val="Tahoma"/>
            <family val="2"/>
          </rPr>
          <t xml:space="preserve">
El índice de ausentismo para el mes de febrero fue de 590%. teniendo en cuenta que se presentaron 20 días de ausencia del algunos trabajadores por enfermedad común, frente a 20 días programados para laborar en este mes.</t>
        </r>
      </text>
    </comment>
    <comment ref="G92" authorId="1" shapeId="0" xr:uid="{00000000-0006-0000-0000-0000B2000000}">
      <text>
        <r>
          <rPr>
            <b/>
            <sz val="9"/>
            <color indexed="81"/>
            <rFont val="Tahoma"/>
            <family val="2"/>
          </rPr>
          <t>Gloria A. Sanchez M.:</t>
        </r>
        <r>
          <rPr>
            <sz val="9"/>
            <color indexed="81"/>
            <rFont val="Tahoma"/>
            <family val="2"/>
          </rPr>
          <t xml:space="preserve">
El índice de ausentismo para el mes de marzo fue de 777%. teniendo en cuenta que se presentaron 171 días de ausencia del algunos trabajadores por enfermedad común, frente a 22 días programados para laborar en este mes.</t>
        </r>
      </text>
    </comment>
    <comment ref="H92" authorId="1" shapeId="0" xr:uid="{00000000-0006-0000-0000-0000B3000000}">
      <text>
        <r>
          <rPr>
            <b/>
            <sz val="9"/>
            <color indexed="81"/>
            <rFont val="Tahoma"/>
            <family val="2"/>
          </rPr>
          <t>Gloria A. Sanchez M.:</t>
        </r>
        <r>
          <rPr>
            <sz val="9"/>
            <color indexed="81"/>
            <rFont val="Tahoma"/>
            <family val="2"/>
          </rPr>
          <t xml:space="preserve">
El índice de ausentismo para el mes de abril fue de 862%. teniendo en cuenta que se presentaron 138 días de ausencia del algunos trabajadores por enfermedad común, frente a 16 días programados para laborar en este mes.</t>
        </r>
      </text>
    </comment>
    <comment ref="I92" authorId="1" shapeId="0" xr:uid="{00000000-0006-0000-0000-0000B4000000}">
      <text>
        <r>
          <rPr>
            <b/>
            <sz val="9"/>
            <color indexed="81"/>
            <rFont val="Tahoma"/>
            <family val="2"/>
          </rPr>
          <t>Gloria A. Sanchez M.:</t>
        </r>
        <r>
          <rPr>
            <sz val="9"/>
            <color indexed="81"/>
            <rFont val="Tahoma"/>
            <family val="2"/>
          </rPr>
          <t xml:space="preserve">
El índice de ausentismo para el mes de mayo fue de 557%. teniendo en cuenta que se presentaron 99 días de ausencia del algunos trabajadores por enfermedad común y 18 días por enfermedad laboral, frente a 21 días programados para laborar en este mes.</t>
        </r>
      </text>
    </comment>
    <comment ref="J92" authorId="1" shapeId="0" xr:uid="{00000000-0006-0000-0000-0000B5000000}">
      <text>
        <r>
          <rPr>
            <b/>
            <sz val="9"/>
            <color indexed="81"/>
            <rFont val="Tahoma"/>
            <family val="2"/>
          </rPr>
          <t>Gloria A. Sanchez M.:</t>
        </r>
        <r>
          <rPr>
            <sz val="9"/>
            <color indexed="81"/>
            <rFont val="Tahoma"/>
            <family val="2"/>
          </rPr>
          <t xml:space="preserve">
El índice de ausentismo para el mes de Junio fue de 515%. teniendo en cuenta que se presentaron 101 días de ausencia del algunos trabajadores por enfermedad común y 2 días por enfermedad laboral, frente a 20 días programados para laborar en este mes.</t>
        </r>
      </text>
    </comment>
    <comment ref="K92" authorId="1" shapeId="0" xr:uid="{00000000-0006-0000-0000-0000B6000000}">
      <text>
        <r>
          <rPr>
            <b/>
            <sz val="9"/>
            <color indexed="81"/>
            <rFont val="Tahoma"/>
            <family val="2"/>
          </rPr>
          <t>Gloria A. Sanchez M.:</t>
        </r>
        <r>
          <rPr>
            <sz val="9"/>
            <color indexed="81"/>
            <rFont val="Tahoma"/>
            <family val="2"/>
          </rPr>
          <t xml:space="preserve">
El índice de ausentismo para el mes de Julio fue de 585%. teniendo en cuenta que se presentaron 117 días de ausencia del algunos trabajadores por enfermedad común, sin días registrados por enfermedad laboral, frente a 20 días programados para laborar en este mes.</t>
        </r>
      </text>
    </comment>
    <comment ref="L92" authorId="1" shapeId="0" xr:uid="{00000000-0006-0000-0000-0000B7000000}">
      <text>
        <r>
          <rPr>
            <b/>
            <sz val="9"/>
            <color indexed="81"/>
            <rFont val="Tahoma"/>
            <family val="2"/>
          </rPr>
          <t>Gloria A. Sanchez M.:</t>
        </r>
        <r>
          <rPr>
            <sz val="9"/>
            <color indexed="81"/>
            <rFont val="Tahoma"/>
            <family val="2"/>
          </rPr>
          <t xml:space="preserve">
El índice de ausentismo para el mes de agosto fue de 159.09%. teniendo en cuenta que se presentaron 35 días de ausencia del algunos trabajadores por enfermedad común, sin días registrados por enfermedad laboral, frente a 22 días programados para laborar en este mes.
</t>
        </r>
      </text>
    </comment>
    <comment ref="M92" authorId="1" shapeId="0" xr:uid="{00000000-0006-0000-0000-0000B8000000}">
      <text>
        <r>
          <rPr>
            <b/>
            <sz val="9"/>
            <color indexed="81"/>
            <rFont val="Tahoma"/>
            <family val="2"/>
          </rPr>
          <t>Gloria A. Sanchez M.:</t>
        </r>
        <r>
          <rPr>
            <sz val="9"/>
            <color indexed="81"/>
            <rFont val="Tahoma"/>
            <family val="2"/>
          </rPr>
          <t xml:space="preserve">
El índice de ausentismo para el mes de septiembre fue de 540.91%. teniendo en cuenta que se presentaron 119 días de ausencia del algunos trabajadores por enfermedad común, sin días registrados por enfermedad laboral, frente a 22 días programados para laborar en este mes.</t>
        </r>
      </text>
    </comment>
    <comment ref="N92" authorId="1" shapeId="0" xr:uid="{00000000-0006-0000-0000-0000B9000000}">
      <text>
        <r>
          <rPr>
            <b/>
            <sz val="9"/>
            <color indexed="81"/>
            <rFont val="Tahoma"/>
            <family val="2"/>
          </rPr>
          <t>Gloria A. Sanchez M.:</t>
        </r>
        <r>
          <rPr>
            <sz val="9"/>
            <color indexed="81"/>
            <rFont val="Tahoma"/>
            <family val="2"/>
          </rPr>
          <t xml:space="preserve">
El índice de ausentismo para el mes de octubre fue de 650%. teniendo en cuenta que se presentaron 130 días de ausencia del algunos trabajadores por enfermedad común, sin días registrados por enfermedad laboral, frente a 20 días programados para laborar en este mes.</t>
        </r>
      </text>
    </comment>
    <comment ref="O92" authorId="1" shapeId="0" xr:uid="{00000000-0006-0000-0000-0000BA000000}">
      <text>
        <r>
          <rPr>
            <b/>
            <sz val="9"/>
            <color indexed="81"/>
            <rFont val="Tahoma"/>
            <family val="2"/>
          </rPr>
          <t>Gloria A. Sanchez M.:</t>
        </r>
        <r>
          <rPr>
            <sz val="9"/>
            <color indexed="81"/>
            <rFont val="Tahoma"/>
            <family val="2"/>
          </rPr>
          <t xml:space="preserve">
El índice de ausentismo para el mes de noviembre fue de 580%. teniendo en cuenta que se presentaron 116 días de ausencia del algunos trabajadores por enfermedad común, sin días registrados por enfermedad laboral, frente a 20 días programados para laborar en este mes.</t>
        </r>
      </text>
    </comment>
    <comment ref="P92" authorId="1" shapeId="0" xr:uid="{00000000-0006-0000-0000-0000BB000000}">
      <text>
        <r>
          <rPr>
            <b/>
            <sz val="9"/>
            <color indexed="81"/>
            <rFont val="Tahoma"/>
            <family val="2"/>
          </rPr>
          <t>Gloria A. Sanchez M.:</t>
        </r>
        <r>
          <rPr>
            <sz val="9"/>
            <color indexed="81"/>
            <rFont val="Tahoma"/>
            <family val="2"/>
          </rPr>
          <t xml:space="preserve">
El índice de ausentismo para el mes de noviembre fue de 418%. teniendo en cuenta que se presentaron 46 días de ausencia del algunos trabajadores por enfermedad común, sin días registrados por enfermedad laboral, frente a 11 días programados para laborar en este mes.
</t>
        </r>
      </text>
    </comment>
    <comment ref="E94" authorId="1" shapeId="0" xr:uid="{00000000-0006-0000-0000-0000BC000000}">
      <text>
        <r>
          <rPr>
            <b/>
            <sz val="9"/>
            <color indexed="81"/>
            <rFont val="Tahoma"/>
            <family val="2"/>
          </rPr>
          <t>Gloria A. Sanchez M.:</t>
        </r>
        <r>
          <rPr>
            <sz val="9"/>
            <color indexed="81"/>
            <rFont val="Tahoma"/>
            <family val="2"/>
          </rPr>
          <t xml:space="preserve">
Durante el mes de enero no se presentan accidentes de trabajo (AT) en la seccional Pereira, lo cual se refleja en 0% del indicador del mes, de un total de 546 trabajadores entre administrativos, docentes y estudiantes en práctica
</t>
        </r>
      </text>
    </comment>
    <comment ref="F94" authorId="1" shapeId="0" xr:uid="{00000000-0006-0000-0000-0000BD000000}">
      <text>
        <r>
          <rPr>
            <b/>
            <sz val="9"/>
            <color indexed="81"/>
            <rFont val="Tahoma"/>
            <family val="2"/>
          </rPr>
          <t>Gloria A. Sanchez M.:</t>
        </r>
        <r>
          <rPr>
            <sz val="9"/>
            <color indexed="81"/>
            <rFont val="Tahoma"/>
            <family val="2"/>
          </rPr>
          <t xml:space="preserve">
Durante el mes de febrero no se presentan accidentes de trabajo (AT) en la seccional Pereira.</t>
        </r>
      </text>
    </comment>
    <comment ref="G94" authorId="1" shapeId="0" xr:uid="{00000000-0006-0000-0000-0000BE000000}">
      <text>
        <r>
          <rPr>
            <b/>
            <sz val="9"/>
            <color indexed="81"/>
            <rFont val="Tahoma"/>
            <family val="2"/>
          </rPr>
          <t>Gloria A. Sanchez M.:</t>
        </r>
        <r>
          <rPr>
            <sz val="9"/>
            <color indexed="81"/>
            <rFont val="Tahoma"/>
            <family val="2"/>
          </rPr>
          <t xml:space="preserve">
Para el mes de Marzo de 2022, se presentaron 2 accidentes de trabajo con una población de 1177 trabajadores, generando un IF de 0,88 en la Seccional Pereira.</t>
        </r>
      </text>
    </comment>
    <comment ref="H94" authorId="1" shapeId="0" xr:uid="{00000000-0006-0000-0000-0000BF000000}">
      <text>
        <r>
          <rPr>
            <b/>
            <sz val="9"/>
            <color indexed="81"/>
            <rFont val="Tahoma"/>
            <family val="2"/>
          </rPr>
          <t>Gloria A. Sanchez M.:</t>
        </r>
        <r>
          <rPr>
            <sz val="9"/>
            <color indexed="81"/>
            <rFont val="Tahoma"/>
            <family val="2"/>
          </rPr>
          <t xml:space="preserve">
Para el mes de Abril de 2022, se presentó 1 accidente de trabajo con una población de 1236 trabajadores, generando un IF de 0,08 en la Seccional Pereira.</t>
        </r>
      </text>
    </comment>
    <comment ref="I94" authorId="1" shapeId="0" xr:uid="{00000000-0006-0000-0000-0000C0000000}">
      <text>
        <r>
          <rPr>
            <b/>
            <sz val="9"/>
            <color indexed="81"/>
            <rFont val="Tahoma"/>
            <family val="2"/>
          </rPr>
          <t>Gloria A. Sanchez M.:</t>
        </r>
        <r>
          <rPr>
            <sz val="9"/>
            <color indexed="81"/>
            <rFont val="Tahoma"/>
            <family val="2"/>
          </rPr>
          <t xml:space="preserve">
Para el mes de Mayo de 2022, se presentó 1 accidente de trabajo con una población de 1196 trabajadores, generando un IF de 0,08 en la Seccional Pereira.</t>
        </r>
      </text>
    </comment>
    <comment ref="J94" authorId="1" shapeId="0" xr:uid="{00000000-0006-0000-0000-0000C1000000}">
      <text>
        <r>
          <rPr>
            <b/>
            <sz val="9"/>
            <color indexed="81"/>
            <rFont val="Tahoma"/>
            <family val="2"/>
          </rPr>
          <t>Gloria A. Sanchez M.:</t>
        </r>
        <r>
          <rPr>
            <sz val="9"/>
            <color indexed="81"/>
            <rFont val="Tahoma"/>
            <family val="2"/>
          </rPr>
          <t xml:space="preserve">
Para el mes de Junio de 2022, se presentó 1 accidente de trabajo con una población de 1114 trabajadores, generando un IF de 0,09 en la Seccional Pereira.</t>
        </r>
      </text>
    </comment>
    <comment ref="K94" authorId="1" shapeId="0" xr:uid="{00000000-0006-0000-0000-0000C2000000}">
      <text>
        <r>
          <rPr>
            <b/>
            <sz val="9"/>
            <color indexed="81"/>
            <rFont val="Tahoma"/>
            <family val="2"/>
          </rPr>
          <t>Gloria A. Sanchez M.:</t>
        </r>
        <r>
          <rPr>
            <sz val="9"/>
            <color indexed="81"/>
            <rFont val="Tahoma"/>
            <family val="2"/>
          </rPr>
          <t xml:space="preserve">
Para el mes de Julio de 2022, se presentó 1 accidente de trabajo con una población de 1089 trabajadores, generando un IF de 0,09 en la Seccional Pereira.</t>
        </r>
      </text>
    </comment>
    <comment ref="L94" authorId="1" shapeId="0" xr:uid="{00000000-0006-0000-0000-0000C3000000}">
      <text>
        <r>
          <rPr>
            <b/>
            <sz val="9"/>
            <color indexed="81"/>
            <rFont val="Tahoma"/>
            <family val="2"/>
          </rPr>
          <t>Gloria A. Sanchez M.:</t>
        </r>
        <r>
          <rPr>
            <sz val="9"/>
            <color indexed="81"/>
            <rFont val="Tahoma"/>
            <family val="2"/>
          </rPr>
          <t xml:space="preserve">
Para el mes de Agosto de 2022, se presentaron 2accidentes de trabajo con una población de 1129 trabajadores, generando un IF de 0,09 para este mes en la Seccional Pereira.</t>
        </r>
      </text>
    </comment>
    <comment ref="M94" authorId="1" shapeId="0" xr:uid="{00000000-0006-0000-0000-0000C4000000}">
      <text>
        <r>
          <rPr>
            <b/>
            <sz val="9"/>
            <color indexed="81"/>
            <rFont val="Tahoma"/>
            <family val="2"/>
          </rPr>
          <t>Gloria A. Sanchez M.:</t>
        </r>
        <r>
          <rPr>
            <sz val="9"/>
            <color indexed="81"/>
            <rFont val="Tahoma"/>
            <family val="2"/>
          </rPr>
          <t xml:space="preserve">
Para el mes de Septiembre de 2022, se presentó 1 accidente de trabajo con una población de 1215 trabajadores, generando un IF de 0,08 para este mes en la Seccional Pereira.</t>
        </r>
      </text>
    </comment>
    <comment ref="N94" authorId="1" shapeId="0" xr:uid="{00000000-0006-0000-0000-0000C5000000}">
      <text>
        <r>
          <rPr>
            <b/>
            <sz val="9"/>
            <color indexed="81"/>
            <rFont val="Tahoma"/>
            <family val="2"/>
          </rPr>
          <t>Gloria A. Sanchez M.:</t>
        </r>
        <r>
          <rPr>
            <sz val="9"/>
            <color indexed="81"/>
            <rFont val="Tahoma"/>
            <family val="2"/>
          </rPr>
          <t xml:space="preserve">
Para el mes de Noviembre de 2022, se presentó 1 accidente de trabajo con una población de 1122 trabajadores, generando un IF de 0,09 para este mes en la Seccional Pereira.</t>
        </r>
      </text>
    </comment>
    <comment ref="O94" authorId="1" shapeId="0" xr:uid="{00000000-0006-0000-0000-0000C6000000}">
      <text>
        <r>
          <rPr>
            <b/>
            <sz val="9"/>
            <color indexed="81"/>
            <rFont val="Tahoma"/>
            <family val="2"/>
          </rPr>
          <t>Gloria A. Sanchez M.:</t>
        </r>
        <r>
          <rPr>
            <sz val="9"/>
            <color indexed="81"/>
            <rFont val="Tahoma"/>
            <family val="2"/>
          </rPr>
          <t xml:space="preserve">
Para el mes de Noviembre de 2022, se presentó 1 accidente de trabajo con una población de 1122 trabajadores, generando un IF de 0,09 para este mes en la Seccional Pereira.</t>
        </r>
      </text>
    </comment>
    <comment ref="P94" authorId="2" shapeId="0" xr:uid="{00000000-0006-0000-0000-0000C7000000}">
      <text>
        <r>
          <rPr>
            <b/>
            <sz val="9"/>
            <color indexed="81"/>
            <rFont val="Tahoma"/>
            <family val="2"/>
          </rPr>
          <t>Gloria A:</t>
        </r>
        <r>
          <rPr>
            <sz val="9"/>
            <color indexed="81"/>
            <rFont val="Tahoma"/>
            <family val="2"/>
          </rPr>
          <t xml:space="preserve">
Para el mes de Diciembre de 2022, no se presentaron accidentes de trabajo. la población de trabajadores de este mes fue de 408 trabajadores, generando un IF de 0,0 para este mes en la Seccional Pereira.</t>
        </r>
      </text>
    </comment>
    <comment ref="E96" authorId="3" shapeId="0" xr:uid="{00000000-0006-0000-0000-0000C8000000}">
      <text>
        <r>
          <rPr>
            <b/>
            <sz val="9"/>
            <color indexed="81"/>
            <rFont val="Tahoma"/>
            <family val="2"/>
          </rPr>
          <t>Docente:</t>
        </r>
        <r>
          <rPr>
            <sz val="9"/>
            <color indexed="81"/>
            <rFont val="Tahoma"/>
            <family val="2"/>
          </rPr>
          <t xml:space="preserve">
Debido a que durante el mes de enero no se presentó ningún accidente laboral, tampoco se presentaron días perdidos provenientes de incapacidades derivadas de dichos eventos , con un total de 546 trabajadores activos, incluyendo estudiantes de prácticas reportados a la fecha por las Facultades.</t>
        </r>
      </text>
    </comment>
    <comment ref="F96" authorId="1" shapeId="0" xr:uid="{00000000-0006-0000-0000-0000C9000000}">
      <text>
        <r>
          <rPr>
            <b/>
            <sz val="9"/>
            <color indexed="81"/>
            <rFont val="Tahoma"/>
            <family val="2"/>
          </rPr>
          <t>Gloria A. Sanchez M.:</t>
        </r>
        <r>
          <rPr>
            <sz val="9"/>
            <color indexed="81"/>
            <rFont val="Tahoma"/>
            <family val="2"/>
          </rPr>
          <t xml:space="preserve">
Para el mes de Febrero de 2022, se presentaron 30 días de incapacidad por accidentes de trabajo para la seccional Pereira.</t>
        </r>
      </text>
    </comment>
    <comment ref="G96" authorId="1" shapeId="0" xr:uid="{00000000-0006-0000-0000-0000CA000000}">
      <text>
        <r>
          <rPr>
            <b/>
            <sz val="9"/>
            <color indexed="81"/>
            <rFont val="Tahoma"/>
            <family val="2"/>
          </rPr>
          <t>Gloria A. Sanchez M.:</t>
        </r>
        <r>
          <rPr>
            <sz val="9"/>
            <color indexed="81"/>
            <rFont val="Tahoma"/>
            <family val="2"/>
          </rPr>
          <t xml:space="preserve">
Para el mes de Marzo de 2022, se presentaron 34 días de incapacidad por accidentes de trabajo para la seccional Pereira , con un total de 1.177 trabajadores activos, incluyendo estudiantes de prácticas</t>
        </r>
      </text>
    </comment>
    <comment ref="H96" authorId="1" shapeId="0" xr:uid="{00000000-0006-0000-0000-0000CB000000}">
      <text>
        <r>
          <rPr>
            <b/>
            <sz val="9"/>
            <color indexed="81"/>
            <rFont val="Tahoma"/>
            <family val="2"/>
          </rPr>
          <t>Gloria A. Sanchez M.:</t>
        </r>
        <r>
          <rPr>
            <sz val="9"/>
            <color indexed="81"/>
            <rFont val="Tahoma"/>
            <family val="2"/>
          </rPr>
          <t xml:space="preserve">
Para el mes de Abril de 2022, se presentaron 37 días de incapacidad por accidentes de trabajo para la seccional Pereira , con un total de 1.236 trabajadores activos, incluyendo estudiantes de prácticas.</t>
        </r>
      </text>
    </comment>
    <comment ref="I96" authorId="1" shapeId="0" xr:uid="{00000000-0006-0000-0000-0000CC000000}">
      <text>
        <r>
          <rPr>
            <b/>
            <sz val="9"/>
            <color indexed="81"/>
            <rFont val="Tahoma"/>
            <family val="2"/>
          </rPr>
          <t>Gloria A. Sanchez M.:
P</t>
        </r>
        <r>
          <rPr>
            <sz val="9"/>
            <color indexed="81"/>
            <rFont val="Tahoma"/>
            <family val="2"/>
          </rPr>
          <t xml:space="preserve">ara el mes de Mayo de 2022, se presentaron 31 días de incapacidad por accidentes de trabajo para la seccional Pereira , con un total de 1.196 trabajadores activos, incluyendo estudiantes de prácticas.
</t>
        </r>
        <r>
          <rPr>
            <b/>
            <sz val="9"/>
            <color indexed="81"/>
            <rFont val="Tahoma"/>
            <family val="2"/>
          </rPr>
          <t xml:space="preserve">
</t>
        </r>
      </text>
    </comment>
    <comment ref="J96" authorId="1" shapeId="0" xr:uid="{00000000-0006-0000-0000-0000CD000000}">
      <text>
        <r>
          <rPr>
            <sz val="9"/>
            <color indexed="81"/>
            <rFont val="Tahoma"/>
            <family val="2"/>
          </rPr>
          <t>Para el mes de Junio de 2022, se presentaron 2 días de incapacidad por accidentes de trabajo para la seccional Pereira , con un total de 1.114 trabajadores activos, incluyendo estudiantes de prácticas..</t>
        </r>
      </text>
    </comment>
    <comment ref="K96" authorId="1" shapeId="0" xr:uid="{00000000-0006-0000-0000-0000CE000000}">
      <text>
        <r>
          <rPr>
            <b/>
            <sz val="9"/>
            <color indexed="81"/>
            <rFont val="Tahoma"/>
            <family val="2"/>
          </rPr>
          <t>Gloria A. Sanchez M.:</t>
        </r>
        <r>
          <rPr>
            <sz val="9"/>
            <color indexed="81"/>
            <rFont val="Tahoma"/>
            <family val="2"/>
          </rPr>
          <t xml:space="preserve">
Para el mes de Julio de 2022, no se presentaron días de incapacidad por accidentes de trabajo para la seccional Pereira en 19 días laborales del mes , con un total de 1.089 trabajadores activos, incluyendo estudiantes de prácticas.</t>
        </r>
      </text>
    </comment>
    <comment ref="L96" authorId="1" shapeId="0" xr:uid="{00000000-0006-0000-0000-0000CF000000}">
      <text>
        <r>
          <rPr>
            <sz val="9"/>
            <color indexed="81"/>
            <rFont val="Tahoma"/>
            <family val="2"/>
          </rPr>
          <t xml:space="preserve">Para el mes de Agosto de 2022, no se presentaron días de incapacidad por accidentes de trabajo para la seccional Pereira en 22 días laborales del mes , con un total de 1.129 trabajadores activos, incluyendo estudiantes de prácticas.
</t>
        </r>
      </text>
    </comment>
    <comment ref="M96" authorId="1" shapeId="0" xr:uid="{00000000-0006-0000-0000-0000D0000000}">
      <text>
        <r>
          <rPr>
            <b/>
            <sz val="9"/>
            <color indexed="81"/>
            <rFont val="Tahoma"/>
            <family val="2"/>
          </rPr>
          <t>Gloria A. Sanchez M.:</t>
        </r>
        <r>
          <rPr>
            <sz val="9"/>
            <color indexed="81"/>
            <rFont val="Tahoma"/>
            <family val="2"/>
          </rPr>
          <t xml:space="preserve">
Para el mes de Septiembre de 2022, no se presentaron días de incapacidad por accidentes de trabajo para la seccional Pereira en 22 días laborales del mes.</t>
        </r>
      </text>
    </comment>
    <comment ref="N96" authorId="1" shapeId="0" xr:uid="{00000000-0006-0000-0000-0000D1000000}">
      <text>
        <r>
          <rPr>
            <b/>
            <sz val="9"/>
            <color indexed="81"/>
            <rFont val="Tahoma"/>
            <family val="2"/>
          </rPr>
          <t>Gloria A. Sanchez M.:</t>
        </r>
        <r>
          <rPr>
            <sz val="9"/>
            <color indexed="81"/>
            <rFont val="Tahoma"/>
            <family val="2"/>
          </rPr>
          <t xml:space="preserve">
Para el mes de Octubre de 2022, no se presentaron días de incapacidad por accidentes de trabajo para la seccional Pereira en 25 días laborales del mes. , con un total de 1.118 trabajadores activos, incluyendo estudiantes de prácticas.</t>
        </r>
      </text>
    </comment>
    <comment ref="O96" authorId="1" shapeId="0" xr:uid="{00000000-0006-0000-0000-0000D2000000}">
      <text>
        <r>
          <rPr>
            <b/>
            <sz val="9"/>
            <color indexed="81"/>
            <rFont val="Tahoma"/>
            <family val="2"/>
          </rPr>
          <t>Gloria A. Sanchez M.:</t>
        </r>
        <r>
          <rPr>
            <sz val="9"/>
            <color indexed="81"/>
            <rFont val="Tahoma"/>
            <family val="2"/>
          </rPr>
          <t xml:space="preserve">
ara el mes de Noviembre de 2022, no se presentaron días de incapacidad por accidentes de trabajo para la seccional Pereira en 20 días laborales del mes , con un total de 1.122 trabajadores activos, incluyendo estudiantes de prácticas.</t>
        </r>
      </text>
    </comment>
    <comment ref="P96" authorId="1" shapeId="0" xr:uid="{00000000-0006-0000-0000-0000D3000000}">
      <text>
        <r>
          <rPr>
            <b/>
            <sz val="9"/>
            <color indexed="81"/>
            <rFont val="Tahoma"/>
            <family val="2"/>
          </rPr>
          <t>Gloria A. Sanchez M.:</t>
        </r>
        <r>
          <rPr>
            <sz val="9"/>
            <color indexed="81"/>
            <rFont val="Tahoma"/>
            <family val="2"/>
          </rPr>
          <t xml:space="preserve">
ara el mes de diciembre de 2022, no se presentaron días de incapacidad por accidentes de trabajo para la seccional Pereira en 11 días laborales del mes, con un total de 408 trabajadores activos, para este período ya no se incluyen los estudiantes de prácticas</t>
        </r>
      </text>
    </comment>
    <comment ref="E98" authorId="1" shapeId="0" xr:uid="{00000000-0006-0000-0000-0000D4000000}">
      <text>
        <r>
          <rPr>
            <b/>
            <sz val="9"/>
            <color indexed="81"/>
            <rFont val="Tahoma"/>
            <family val="2"/>
          </rPr>
          <t>Gloria A. Sanchez M.:</t>
        </r>
        <r>
          <rPr>
            <sz val="9"/>
            <color indexed="81"/>
            <rFont val="Tahoma"/>
            <family val="2"/>
          </rPr>
          <t xml:space="preserve">
No se presentaron casos de AT Mortales, ni accidentes de trabajo en el mes de enero de 2022</t>
        </r>
      </text>
    </comment>
    <comment ref="F98" authorId="1" shapeId="0" xr:uid="{00000000-0006-0000-0000-0000D5000000}">
      <text>
        <r>
          <rPr>
            <b/>
            <sz val="9"/>
            <color indexed="81"/>
            <rFont val="Tahoma"/>
            <family val="2"/>
          </rPr>
          <t>Gloria A. Sanchez M.:</t>
        </r>
        <r>
          <rPr>
            <sz val="9"/>
            <color indexed="81"/>
            <rFont val="Tahoma"/>
            <family val="2"/>
          </rPr>
          <t xml:space="preserve">
Para el mes de Febrero de 2022, no se han presentado accidentes de trabajo mortales en la seccional Pereira.</t>
        </r>
      </text>
    </comment>
    <comment ref="G98" authorId="1" shapeId="0" xr:uid="{00000000-0006-0000-0000-0000D6000000}">
      <text>
        <r>
          <rPr>
            <b/>
            <sz val="9"/>
            <color indexed="81"/>
            <rFont val="Tahoma"/>
            <family val="2"/>
          </rPr>
          <t>Gloria A. Sanchez M.:</t>
        </r>
        <r>
          <rPr>
            <sz val="9"/>
            <color indexed="81"/>
            <rFont val="Tahoma"/>
            <family val="2"/>
          </rPr>
          <t xml:space="preserve">
ara el mes de Marzo de 2022, no se han presentado accidentes de trabajo mortales. En lo corrido del año se han presentado dos accidentes de trabajo leves y uno AT grave en la seccional Pereira.</t>
        </r>
      </text>
    </comment>
    <comment ref="H98" authorId="1" shapeId="0" xr:uid="{00000000-0006-0000-0000-0000D7000000}">
      <text>
        <r>
          <rPr>
            <b/>
            <sz val="9"/>
            <color indexed="81"/>
            <rFont val="Tahoma"/>
            <family val="2"/>
          </rPr>
          <t>Gloria A. Sanchez M.:</t>
        </r>
        <r>
          <rPr>
            <sz val="9"/>
            <color indexed="81"/>
            <rFont val="Tahoma"/>
            <family val="2"/>
          </rPr>
          <t xml:space="preserve">
Para el mes de Abril de 2022, no se han presentado accidentes de trabajo mortales. En lo corrido del año se han presentado 3 accidentes de trabajo leves y 1 AT grave en la seccional Pereira.</t>
        </r>
      </text>
    </comment>
    <comment ref="I98" authorId="1" shapeId="0" xr:uid="{00000000-0006-0000-0000-0000D8000000}">
      <text>
        <r>
          <rPr>
            <b/>
            <sz val="9"/>
            <color indexed="81"/>
            <rFont val="Tahoma"/>
            <family val="2"/>
          </rPr>
          <t>Gloria A. Sanchez M.:</t>
        </r>
        <r>
          <rPr>
            <sz val="9"/>
            <color indexed="81"/>
            <rFont val="Tahoma"/>
            <family val="2"/>
          </rPr>
          <t xml:space="preserve">
Para el mes de Mayo de 2022, no se han presentado accidentes de trabajo mortales. En lo corrido del año se han presentado 4 accidentes de trabajo leves y 1 AT grave en la seccional Pereira.</t>
        </r>
      </text>
    </comment>
    <comment ref="J98" authorId="1" shapeId="0" xr:uid="{00000000-0006-0000-0000-0000D9000000}">
      <text>
        <r>
          <rPr>
            <b/>
            <sz val="9"/>
            <color indexed="81"/>
            <rFont val="Tahoma"/>
            <family val="2"/>
          </rPr>
          <t>Gloria A. Sanchez M.:</t>
        </r>
        <r>
          <rPr>
            <sz val="9"/>
            <color indexed="81"/>
            <rFont val="Tahoma"/>
            <family val="2"/>
          </rPr>
          <t xml:space="preserve">
Para el mes de Junio de 2022, no se han presentado accidentes de trabajo mortales. En lo corrido del año se han presentado 5 accidentes de trabajo leves y 1 AT grave en la seccional Pereira.
</t>
        </r>
      </text>
    </comment>
    <comment ref="K98" authorId="1" shapeId="0" xr:uid="{00000000-0006-0000-0000-0000DA000000}">
      <text>
        <r>
          <rPr>
            <b/>
            <sz val="9"/>
            <color indexed="81"/>
            <rFont val="Tahoma"/>
            <family val="2"/>
          </rPr>
          <t>Gloria A. Sanchez M.:</t>
        </r>
        <r>
          <rPr>
            <sz val="9"/>
            <color indexed="81"/>
            <rFont val="Tahoma"/>
            <family val="2"/>
          </rPr>
          <t xml:space="preserve">
Para el mes de Julio de 2022, no se han presentado accidentes de trabajo mortales. En lo corrido del año se han presentado 6 accidentes de trabajo leves y 1 AT grave en la seccional Pereira.</t>
        </r>
      </text>
    </comment>
    <comment ref="L98" authorId="1" shapeId="0" xr:uid="{00000000-0006-0000-0000-0000DB000000}">
      <text>
        <r>
          <rPr>
            <b/>
            <sz val="9"/>
            <color indexed="81"/>
            <rFont val="Tahoma"/>
            <family val="2"/>
          </rPr>
          <t>Gloria A. Sanchez M.:</t>
        </r>
        <r>
          <rPr>
            <sz val="9"/>
            <color indexed="81"/>
            <rFont val="Tahoma"/>
            <family val="2"/>
          </rPr>
          <t xml:space="preserve">
Para el mes de Agosto de 2022, no se han presentado accidentes de trabajo mortales. En lo corrido del año se han presentado 7 accidentes de trabajo leves y 1 AT grave en la seccional Pereira.</t>
        </r>
      </text>
    </comment>
    <comment ref="M98" authorId="1" shapeId="0" xr:uid="{00000000-0006-0000-0000-0000DC000000}">
      <text>
        <r>
          <rPr>
            <b/>
            <sz val="9"/>
            <color indexed="81"/>
            <rFont val="Tahoma"/>
            <family val="2"/>
          </rPr>
          <t>Gloria A. Sanchez M.:</t>
        </r>
        <r>
          <rPr>
            <sz val="9"/>
            <color indexed="81"/>
            <rFont val="Tahoma"/>
            <family val="2"/>
          </rPr>
          <t xml:space="preserve">
Para el mes de Septiembre de 2022, no se han presentado accidentes de trabajo mortales. En lo corrido del año se han presentado 7 accidentes de trabajo leves y 1 AT grave en la seccional Pereira.
</t>
        </r>
      </text>
    </comment>
    <comment ref="N98" authorId="1" shapeId="0" xr:uid="{00000000-0006-0000-0000-0000DD000000}">
      <text>
        <r>
          <rPr>
            <b/>
            <sz val="9"/>
            <color indexed="81"/>
            <rFont val="Tahoma"/>
            <family val="2"/>
          </rPr>
          <t>Gloria A. Sanchez M.:</t>
        </r>
        <r>
          <rPr>
            <sz val="9"/>
            <color indexed="81"/>
            <rFont val="Tahoma"/>
            <family val="2"/>
          </rPr>
          <t xml:space="preserve">
Para el mes de Octubre de 2022, no se han presentado accidentes de trabajo mortales. En lo corrido del año se han presentado 8 accidentes de trabajo leves y 1 AT grave en la seccional Pereira.
</t>
        </r>
      </text>
    </comment>
    <comment ref="O98" authorId="1" shapeId="0" xr:uid="{00000000-0006-0000-0000-0000DE000000}">
      <text>
        <r>
          <rPr>
            <b/>
            <sz val="9"/>
            <color indexed="81"/>
            <rFont val="Tahoma"/>
            <family val="2"/>
          </rPr>
          <t>Gloria A. Sanchez M.:</t>
        </r>
        <r>
          <rPr>
            <sz val="9"/>
            <color indexed="81"/>
            <rFont val="Tahoma"/>
            <family val="2"/>
          </rPr>
          <t xml:space="preserve">
Para el mes de Noviembre de 2022, no se han presentado accidentes de trabajo mortales. En lo corrido del año se han presentado 9 accidentes de trabajo leves y 1 AT grave en la seccional Pereira.
</t>
        </r>
      </text>
    </comment>
    <comment ref="P98" authorId="1" shapeId="0" xr:uid="{00000000-0006-0000-0000-0000DF000000}">
      <text>
        <r>
          <rPr>
            <b/>
            <sz val="9"/>
            <color indexed="81"/>
            <rFont val="Tahoma"/>
            <family val="2"/>
          </rPr>
          <t>Gloria A. Sanchez M.:</t>
        </r>
        <r>
          <rPr>
            <sz val="9"/>
            <color indexed="81"/>
            <rFont val="Tahoma"/>
            <family val="2"/>
          </rPr>
          <t xml:space="preserve">
Para el mes de diciembre de 2022, no se han presentado accidentes de trabajo mortales. En lo corrido del año se han presentado 9 accidentes de trabajo leves y 1 AT grave en la seccional Pereira.
</t>
        </r>
      </text>
    </comment>
    <comment ref="E100" authorId="1" shapeId="0" xr:uid="{00000000-0006-0000-0000-0000E0000000}">
      <text>
        <r>
          <rPr>
            <b/>
            <sz val="9"/>
            <color indexed="81"/>
            <rFont val="Tahoma"/>
            <family val="2"/>
          </rPr>
          <t>Gloria A. Sanchez M.:</t>
        </r>
        <r>
          <rPr>
            <sz val="9"/>
            <color indexed="81"/>
            <rFont val="Tahoma"/>
            <family val="2"/>
          </rPr>
          <t xml:space="preserve">
De un promedio de 1081 trabajadores no se tienen casos nuevos de enfermedad laboral en el periodo 2022.</t>
        </r>
      </text>
    </comment>
    <comment ref="D101" authorId="0" shapeId="0" xr:uid="{00000000-0006-0000-0000-0000E1000000}">
      <text>
        <r>
          <rPr>
            <b/>
            <sz val="9"/>
            <color indexed="81"/>
            <rFont val="Tahoma"/>
            <family val="2"/>
          </rPr>
          <t>Gloria Amparo Sanchez:</t>
        </r>
        <r>
          <rPr>
            <sz val="9"/>
            <color indexed="81"/>
            <rFont val="Tahoma"/>
            <family val="2"/>
          </rPr>
          <t xml:space="preserve">
RANGO BUENO:  85% - 96,9%</t>
        </r>
      </text>
    </comment>
    <comment ref="E101" authorId="1" shapeId="0" xr:uid="{00000000-0006-0000-0000-0000E2000000}">
      <text>
        <r>
          <rPr>
            <b/>
            <sz val="9"/>
            <color indexed="81"/>
            <rFont val="Tahoma"/>
            <family val="2"/>
          </rPr>
          <t>Gloria A. Sanchez M.:</t>
        </r>
        <r>
          <rPr>
            <sz val="9"/>
            <color indexed="81"/>
            <rFont val="Tahoma"/>
            <family val="2"/>
          </rPr>
          <t xml:space="preserve">
ENERO:Se cumplió la meta del 100% se observa que las 87 solicitudes realizadas por los usuarios todas se tramitaron en el tiempo establecido, está medición se basa en los registros del Formato préstamo de equipos Audiovisuales, las reservas no atendidas en el tiempo es por que el usuario no se presenta.
La disminución en las reservas se debe al periodo de vacaciones, tanto de estudiantes como de administrativos.</t>
        </r>
      </text>
    </comment>
    <comment ref="F101" authorId="1" shapeId="0" xr:uid="{00000000-0006-0000-0000-0000E3000000}">
      <text>
        <r>
          <rPr>
            <b/>
            <sz val="9"/>
            <color indexed="81"/>
            <rFont val="Tahoma"/>
            <family val="2"/>
          </rPr>
          <t>Gloria A. Sanchez M.:</t>
        </r>
        <r>
          <rPr>
            <sz val="9"/>
            <color indexed="81"/>
            <rFont val="Tahoma"/>
            <family val="2"/>
          </rPr>
          <t xml:space="preserve">
FEBRERO: Se cumplió la meta del 99,68% se observa que las 317 solicitudes realizadas por los usuarios 316 se tramitaron en el tiempo establecido, donde la que no cumplió se debió a que el usuario no se presentó el día de la reserva. Está medición se basa en los registros del Formato préstamo de equipos Audiovisuales, las reservas no atendidas en el tiempo es por que el usuario no se presenta.
La disminución en las reservas se debe al periodo de vacaciones, tanto de estudiantes como de administrativos.</t>
        </r>
      </text>
    </comment>
    <comment ref="G101" authorId="1" shapeId="0" xr:uid="{00000000-0006-0000-0000-0000E4000000}">
      <text>
        <r>
          <rPr>
            <b/>
            <sz val="9"/>
            <color indexed="81"/>
            <rFont val="Tahoma"/>
            <family val="2"/>
          </rPr>
          <t>Gloria A. Sanchez M.:</t>
        </r>
        <r>
          <rPr>
            <sz val="9"/>
            <color indexed="81"/>
            <rFont val="Tahoma"/>
            <family val="2"/>
          </rPr>
          <t xml:space="preserve">
MARZO:Se cumplió la meta del 97% se observa que las 371 solicitudes realizadas por los usuarios 367 se tramitaron en el tiempo establecido, está medición se basa en los registros del Formato préstamo de equipos Audiovisuales, las reservas no atendidas en el tiempo es por que el usuario no se presenta.
La disminución en las reservas se debe al periodo de vacaciones, tanto de estudiantes como de administrativos.</t>
        </r>
      </text>
    </comment>
    <comment ref="H101" authorId="1" shapeId="0" xr:uid="{00000000-0006-0000-0000-0000E5000000}">
      <text>
        <r>
          <rPr>
            <b/>
            <sz val="9"/>
            <color indexed="81"/>
            <rFont val="Tahoma"/>
            <family val="2"/>
          </rPr>
          <t>Gloria A. Sanchez M.:</t>
        </r>
        <r>
          <rPr>
            <sz val="9"/>
            <color indexed="81"/>
            <rFont val="Tahoma"/>
            <family val="2"/>
          </rPr>
          <t xml:space="preserve">
ABRIL:Se cumplió la meta del 97% se observa que las 510 solicitudes realizadas por los usuarios 509 se tramitaron en el tiempo establecido, está medición se basa en los registros del Formato préstamo de equipos Audiovisuales y prestamo de elementos de audiovisuales, las reservas no atendidas en el tiempo es por que el usuario no se presenta.</t>
        </r>
      </text>
    </comment>
    <comment ref="I101" authorId="1" shapeId="0" xr:uid="{00000000-0006-0000-0000-0000E6000000}">
      <text>
        <r>
          <rPr>
            <b/>
            <sz val="9"/>
            <color indexed="81"/>
            <rFont val="Tahoma"/>
            <family val="2"/>
          </rPr>
          <t>Gloria A. Sanchez M.:</t>
        </r>
        <r>
          <rPr>
            <sz val="9"/>
            <color indexed="81"/>
            <rFont val="Tahoma"/>
            <family val="2"/>
          </rPr>
          <t xml:space="preserve">
MAYO:Se cumplió la meta del 97% se observa que las 260 solicitudes realizadas por los usuarios259 se tramitaron en el tiempo establecido, está medición se basa en los registros del Formato préstamo de equipos Audiovisuales y prestamo de elementos de audiovisuales, las reservas no atendidas en el tiempo es por que el usuario no se presenta.</t>
        </r>
      </text>
    </comment>
    <comment ref="J101" authorId="1" shapeId="0" xr:uid="{00000000-0006-0000-0000-0000E7000000}">
      <text>
        <r>
          <rPr>
            <b/>
            <sz val="9"/>
            <color indexed="81"/>
            <rFont val="Tahoma"/>
            <family val="2"/>
          </rPr>
          <t>Gloria A. Sanchez M.:</t>
        </r>
        <r>
          <rPr>
            <sz val="9"/>
            <color indexed="81"/>
            <rFont val="Tahoma"/>
            <family val="2"/>
          </rPr>
          <t xml:space="preserve">
JUNIO: Se superó la meta estándar nacional del 97%, obteniéndose en la seccional el resultado del 97,89%. Se observa que las 95 solicitudes realizadas por los usuarios 93 se tramitaron en el tiempo establecido, la fuente de medición para este indicador son los registros del Formato préstamo de equipos Audiovisuales y préstamo de elementos de audiovisuales, las reservas no atendidas en el tiempo es porque el usuario no se presenta.</t>
        </r>
      </text>
    </comment>
    <comment ref="K101" authorId="1" shapeId="0" xr:uid="{00000000-0006-0000-0000-0000E8000000}">
      <text>
        <r>
          <rPr>
            <b/>
            <sz val="9"/>
            <color indexed="81"/>
            <rFont val="Tahoma"/>
            <family val="2"/>
          </rPr>
          <t>Gloria A. Sanchez M.:</t>
        </r>
        <r>
          <rPr>
            <sz val="9"/>
            <color indexed="81"/>
            <rFont val="Tahoma"/>
            <family val="2"/>
          </rPr>
          <t xml:space="preserve">
JULIO: Se superó la meta estándar nacional del 97%, obteniéndose en la seccional el resultado del 98,73%. Se observa que las 157 solicitudes realizadas por los usuarios155 se tramitaron en el tiempo establecido, la fuente de medición para este indicador son los registros del Formato préstamo de equipos Audiovisuales y préstamo de elementos de audiovisuales, las reservas no atendidas en el tiempo es porque el usuario no se presenta.</t>
        </r>
      </text>
    </comment>
    <comment ref="L101" authorId="1" shapeId="0" xr:uid="{00000000-0006-0000-0000-0000E9000000}">
      <text>
        <r>
          <rPr>
            <b/>
            <sz val="9"/>
            <color indexed="81"/>
            <rFont val="Tahoma"/>
            <family val="2"/>
          </rPr>
          <t>Gloria A. Sanchez M.:</t>
        </r>
        <r>
          <rPr>
            <sz val="9"/>
            <color indexed="81"/>
            <rFont val="Tahoma"/>
            <family val="2"/>
          </rPr>
          <t xml:space="preserve">
AGOSTO: Se superó la meta estándar nacional del 97%, obteniéndose en la seccional el resultado del 98,80%. Se observa que las 415 solicitudes realizadas por los usuarios 410 se tramitaron en el tiempo establecido, la fuente de medición para este indicador son los registros del Formato préstamo de equipos Audiovisuales y préstamo de elementos de audiovisuales, las reservas no atendidas en el tiempo es porque el usuario no se presenta.
</t>
        </r>
      </text>
    </comment>
    <comment ref="M101" authorId="1" shapeId="0" xr:uid="{00000000-0006-0000-0000-0000EA000000}">
      <text>
        <r>
          <rPr>
            <b/>
            <sz val="9"/>
            <color indexed="81"/>
            <rFont val="Tahoma"/>
            <family val="2"/>
          </rPr>
          <t>Gloria A. Sanchez M.:</t>
        </r>
        <r>
          <rPr>
            <sz val="9"/>
            <color indexed="81"/>
            <rFont val="Tahoma"/>
            <family val="2"/>
          </rPr>
          <t xml:space="preserve">
SEPTIEMBRE: Se superó la meta estándar nacional del 97%, obteniéndose en la seccional el resultado del 98,59%. Se observa que las 426 solicitudes realizadas por los usuarios 420 se tramitaron en el tiempo establecido, la fuente de medición para este indicador son los registros del Formato préstamo de equipos Audiovisuales y préstamo de elementos de audiovisuales, las reservas no atendidas en el tiempo es porque el usuario no se presenta.</t>
        </r>
      </text>
    </comment>
    <comment ref="N101" authorId="1" shapeId="0" xr:uid="{00000000-0006-0000-0000-0000EB000000}">
      <text>
        <r>
          <rPr>
            <b/>
            <sz val="9"/>
            <color indexed="81"/>
            <rFont val="Tahoma"/>
            <family val="2"/>
          </rPr>
          <t>Gloria A. Sanchez M.:</t>
        </r>
        <r>
          <rPr>
            <sz val="9"/>
            <color indexed="81"/>
            <rFont val="Tahoma"/>
            <family val="2"/>
          </rPr>
          <t xml:space="preserve">
OCTUBRE: Se superó la meta estándar nacional del 97%, obteniéndose en la seccional el resultado del 99,43%. Se observa que las 353 solicitudes realizadas por los usuarios 351 se tramitaron en el tiempo establecido, la fuente de medición para este indicador son los registros del Formato préstamo de equipos Audiovisuales y préstamo de elementos de audiovisuales, las reservas no atendidas en el tiempo es porque el usuario no se presenta.</t>
        </r>
      </text>
    </comment>
    <comment ref="O101" authorId="1" shapeId="0" xr:uid="{00000000-0006-0000-0000-0000EC000000}">
      <text>
        <r>
          <rPr>
            <b/>
            <sz val="9"/>
            <color indexed="81"/>
            <rFont val="Tahoma"/>
            <family val="2"/>
          </rPr>
          <t>Gloria A. Sanchez M.:</t>
        </r>
        <r>
          <rPr>
            <sz val="9"/>
            <color indexed="81"/>
            <rFont val="Tahoma"/>
            <family val="2"/>
          </rPr>
          <t xml:space="preserve">
NOVIEMBRE: Se superó la meta estándar nacional del 97%, obteniéndose en la seccional el resultado del 97,76%. Se observa que las 223 solicitudes realizadas por los usuarios 218 se tramitaron en el tiempo establecido, la fuente de medición para este indicador son los registros del Formato préstamo de equipos Audiovisuales y préstamo de elementos de audiovisuales, las reservas no atendidas en el tiempo es porque el usuario no se presenta.</t>
        </r>
      </text>
    </comment>
    <comment ref="P101" authorId="1" shapeId="0" xr:uid="{00000000-0006-0000-0000-0000ED000000}">
      <text>
        <r>
          <rPr>
            <b/>
            <sz val="9"/>
            <color indexed="81"/>
            <rFont val="Tahoma"/>
            <family val="2"/>
          </rPr>
          <t>Gloria A. Sanchez M.:</t>
        </r>
        <r>
          <rPr>
            <sz val="9"/>
            <color indexed="81"/>
            <rFont val="Tahoma"/>
            <family val="2"/>
          </rPr>
          <t xml:space="preserve">
DICIEMBRE: Se superó la meta estándar nacional del 97%, obteniéndose en la seccional el resultado del 97,22%. Se observa que las 36 solicitudes realizadas por los usuarios 35 se tramitaron en el tiempo establecido, la fuente de medición para este indicador son los registros del Formato préstamo de equipos Audiovisuales y préstamo de elementos de audiovisuales, las reservas no atendidas en el tiempo es porque el usuario no se presenta. Tener en cuenta que las solicitudes disminuyeron por que es época de Vacaciones</t>
        </r>
      </text>
    </comment>
    <comment ref="D103" authorId="0" shapeId="0" xr:uid="{00000000-0006-0000-0000-0000EE000000}">
      <text>
        <r>
          <rPr>
            <b/>
            <sz val="9"/>
            <color indexed="81"/>
            <rFont val="Tahoma"/>
            <family val="2"/>
          </rPr>
          <t>Gloria Amparo Sanchez:</t>
        </r>
        <r>
          <rPr>
            <sz val="9"/>
            <color indexed="81"/>
            <rFont val="Tahoma"/>
            <family val="2"/>
          </rPr>
          <t xml:space="preserve">
RANGO BUENO:  85% - 96,9%</t>
        </r>
      </text>
    </comment>
    <comment ref="E103" authorId="1" shapeId="0" xr:uid="{00000000-0006-0000-0000-0000EF000000}">
      <text>
        <r>
          <rPr>
            <b/>
            <sz val="9"/>
            <color indexed="81"/>
            <rFont val="Tahoma"/>
            <family val="2"/>
          </rPr>
          <t>Gloria A. Sanchez M.:</t>
        </r>
        <r>
          <rPr>
            <sz val="9"/>
            <color indexed="81"/>
            <rFont val="Tahoma"/>
            <family val="2"/>
          </rPr>
          <t xml:space="preserve">
ENERO:Se cumplió la meta del 97% se observa que de los 86 requerimientos enviados por los trabajadores a través del el software Helppeople, casos reportados y tambien con solicitudes enviadas al correo,86 se atendieron en el tiempo establecido, está medición se basa en informe del aplicativo Helppeople.Aclarando que ya se esta prestando servicio presencial . se ha tenido la asesoria y capacitación permanente del equipo de trabajo de sistemas , el soporte es constante tanto en solicitudes de correo por parte de estudiantes, como soporte a los usuarios del área financiera y de gestión humana.</t>
        </r>
      </text>
    </comment>
    <comment ref="F103" authorId="1" shapeId="0" xr:uid="{00000000-0006-0000-0000-0000F0000000}">
      <text>
        <r>
          <rPr>
            <b/>
            <sz val="9"/>
            <color indexed="81"/>
            <rFont val="Tahoma"/>
            <family val="2"/>
          </rPr>
          <t>Gloria A. Sanchez M.:</t>
        </r>
        <r>
          <rPr>
            <sz val="9"/>
            <color indexed="81"/>
            <rFont val="Tahoma"/>
            <family val="2"/>
          </rPr>
          <t xml:space="preserve">
FEBRERO:Se cumplió la meta del 97% se observa que de los 134 requerimientos enviados por los trabajadores a través del el software Helppeople, casos reportados y tambien con solicitudes enviadas al correo,134 se atendieron en el tiempo establecido, está medición se basa en informe del aplicativo Helppeople.Aclarando que ya se esta prestando servicio presencial . se ha tenido la asesoria y capacitación permanente del equipo de trabajo de sistemas , el soporte es constante tanto en solicitudes de correo por parte de estudiantes, como soporte a los usuarios del área financiera y de gestión humana.</t>
        </r>
      </text>
    </comment>
    <comment ref="G103" authorId="1" shapeId="0" xr:uid="{00000000-0006-0000-0000-0000F1000000}">
      <text>
        <r>
          <rPr>
            <b/>
            <sz val="9"/>
            <color indexed="81"/>
            <rFont val="Tahoma"/>
            <family val="2"/>
          </rPr>
          <t>Gloria A. Sanchez M.:</t>
        </r>
        <r>
          <rPr>
            <sz val="9"/>
            <color indexed="81"/>
            <rFont val="Tahoma"/>
            <family val="2"/>
          </rPr>
          <t xml:space="preserve">
MARZO:Se cumplió la meta del 97% se observa que de los 132 requerimientos enviados por los trabajadores a través del el software Helppeople, casos reportados y tambien con solicitudes enviadas al correo,131 se atendieron en el tiempo establecido, está medición se basa en informe del aplicativo Helppeople,la nueva mesa de ayuda,casos aplicativos.Aclarando que ya se esta prestando servicio presencial . se ha tenido la asesoria y capacitación permanente del equipo de trabajo de sistemas , el soporte es constante tanto en solicitudes de correo por parte de estudiantes, como soporte a los usuarios del área financiera y de gestión humana.</t>
        </r>
      </text>
    </comment>
    <comment ref="H103" authorId="1" shapeId="0" xr:uid="{00000000-0006-0000-0000-0000F2000000}">
      <text>
        <r>
          <rPr>
            <b/>
            <sz val="9"/>
            <color indexed="81"/>
            <rFont val="Tahoma"/>
            <family val="2"/>
          </rPr>
          <t>Gloria A. Sanchez M.:</t>
        </r>
        <r>
          <rPr>
            <sz val="9"/>
            <color indexed="81"/>
            <rFont val="Tahoma"/>
            <family val="2"/>
          </rPr>
          <t xml:space="preserve">
ABRIL:Se cumplió la meta del 97% se observa que de los 162 requerimientos enviados por los trabajadores a través del el software Mesa de Ayuda, casos reportados y tambien con solicitudes enviadas al correo,162 se atendieron en el tiempo establecido, está medición se basa en informe del aplicativo Mesa de ayuda,casos aplicativos, solicitudes enviadas al correo.Aclarando que ya se esta prestando servicio presencial . se ha tenido la asesoria y capacitación permanente del equipo de trabajo de sistemas , el soporte es constante tanto en solicitudes de correo por parte de estudiantes, como soporte a los usuarios del área financiera y de gestión humana.</t>
        </r>
      </text>
    </comment>
    <comment ref="I103" authorId="1" shapeId="0" xr:uid="{00000000-0006-0000-0000-0000F3000000}">
      <text>
        <r>
          <rPr>
            <b/>
            <sz val="9"/>
            <color indexed="81"/>
            <rFont val="Tahoma"/>
            <family val="2"/>
          </rPr>
          <t>Gloria A. Sanchez M.:</t>
        </r>
        <r>
          <rPr>
            <sz val="9"/>
            <color indexed="81"/>
            <rFont val="Tahoma"/>
            <family val="2"/>
          </rPr>
          <t xml:space="preserve">
MAYO:Se cumplió la meta del 97% se observa que de los 173 requerimientos enviados por los trabajadores a través del el software Mesa de Ayuda, casos reportados y tambien con solicitudes enviadas al correo,173 se atendieron en el tiempo establecido, está medición se basa en informe del aplicativo Mesa de ayuda,casos aplicativos, solicitudes enviadas al correo.Aclarando que ya se esta prestando servicio presencial . se ha tenido la asesoria y capacitación permanente del equipo de trabajo de sistemas , el soporte es constante tanto en solicitudes de correo por parte de estudiantes, como soporte a los usuarios del área financiera y de gestión humana.</t>
        </r>
      </text>
    </comment>
    <comment ref="J103" authorId="1" shapeId="0" xr:uid="{00000000-0006-0000-0000-0000F4000000}">
      <text>
        <r>
          <rPr>
            <b/>
            <sz val="9"/>
            <color indexed="81"/>
            <rFont val="Tahoma"/>
            <family val="2"/>
          </rPr>
          <t>Gloria A. Sanchez M.:</t>
        </r>
        <r>
          <rPr>
            <sz val="9"/>
            <color indexed="81"/>
            <rFont val="Tahoma"/>
            <family val="2"/>
          </rPr>
          <t xml:space="preserve">
JUNIO: Se superó la meta estándar nacional del 97% en la seccional se obtuvo el resultado del 99,15%. Se observa que de los 118 requerimientos enviados por los trabajadores a través del el software Mesa de Ayuda, casos reportados y también con solicitudes enviadas al correo,117 se atendieron en el tiempo establecido, está medición se basa en informe del aplicativo Mesa de ayuda, casos aplicativos, solicitudes enviadas al correo. Aclarando que ya se esta prestando servicio presencial . se ha tenido la asesoría y capacitación permanente del equipo de trabajo de sistemas , el soporte es constante tanto en solicitudes de correo por parte de estudiantes, como soporte a los usuarios del área financiera y de gestión humana.</t>
        </r>
      </text>
    </comment>
    <comment ref="K103" authorId="1" shapeId="0" xr:uid="{00000000-0006-0000-0000-0000F5000000}">
      <text>
        <r>
          <rPr>
            <b/>
            <sz val="9"/>
            <color indexed="81"/>
            <rFont val="Tahoma"/>
            <family val="2"/>
          </rPr>
          <t>Gloria A. Sanchez M.:</t>
        </r>
        <r>
          <rPr>
            <sz val="9"/>
            <color indexed="81"/>
            <rFont val="Tahoma"/>
            <family val="2"/>
          </rPr>
          <t xml:space="preserve">
JULIO: Se superó la meta estándar nacional del 97% en la seccional se obtuvo el resultado del 100%. Se observa que de los 130 requerimientos enviados por los trabajadores a través del el software Mesa de Ayuda, casos reportados y también con solicitudes enviadas al correo,130 se atendieron en el tiempo establecido, está medición se basa en informe del aplicativo Mesa de ayuda, casos aplicativos, solicitudes enviadas al correo. Aclarando que ya se esta prestando servicio presencial . se ha tenido la asesoría y capacitación permanente del equipo de trabajo de sistemas , el soporte es constante tanto en solicitudes de correo por parte de estudiantes, como soporte a los usuarios del área financiera y de gestión humana.
</t>
        </r>
      </text>
    </comment>
    <comment ref="L103" authorId="1" shapeId="0" xr:uid="{00000000-0006-0000-0000-0000F6000000}">
      <text>
        <r>
          <rPr>
            <b/>
            <sz val="9"/>
            <color indexed="81"/>
            <rFont val="Tahoma"/>
            <family val="2"/>
          </rPr>
          <t>Gloria A. Sanchez M.:</t>
        </r>
        <r>
          <rPr>
            <sz val="9"/>
            <color indexed="81"/>
            <rFont val="Tahoma"/>
            <family val="2"/>
          </rPr>
          <t xml:space="preserve">
AGOSTO: Se superó la meta estándar nacional del 97% en la seccional se obtuvo el resultado del 99,46%. Se observa que de los 184 requerimientos enviados por los trabajadores a través del el software Mesa de Ayuda, casos reportados y también con solicitudes enviadas al correo,183 se atendieron en el tiempo establecido, está medición se basa en informe del aplicativo Mesa de ayuda, casos aplicativos, solicitudes enviadas al correo. Aclarando que ya se esta prestando servicio presencial . se ha tenido la asesoría y capacitación permanente del equipo de trabajo de sistemas , el soporte es constante tanto en solicitudes de correo por parte de estudiantes, como soporte a los usuarios del área financiera y de gestión humana.</t>
        </r>
      </text>
    </comment>
    <comment ref="M103" authorId="1" shapeId="0" xr:uid="{00000000-0006-0000-0000-0000F7000000}">
      <text>
        <r>
          <rPr>
            <b/>
            <sz val="9"/>
            <color indexed="81"/>
            <rFont val="Tahoma"/>
            <family val="2"/>
          </rPr>
          <t>Gloria A. Sanchez M.:</t>
        </r>
        <r>
          <rPr>
            <sz val="9"/>
            <color indexed="81"/>
            <rFont val="Tahoma"/>
            <family val="2"/>
          </rPr>
          <t xml:space="preserve">
SEPTIEMBRE: se observa que de los 170 requerimientos enviados por los trabajadores a través del el software Mesa de Ayuda, casos reportados y también con solicitudes enviadas al correo,166 se atendieron en el tiempo establecido, está medición se basa en informe del aplicativo Mesa de ayuda, casos aplicativos, solicitudes enviadas al correo. Aclarando que ya se esta prestando servicio presencial . se ha tenido la asesoría y capacitación permanente del equipo de trabajo de sistemas , el soporte es constante tanto en solicitudes de correo por parte de estudiantes, como soporte a los usuarios del área financiera y de gestión humana.</t>
        </r>
      </text>
    </comment>
    <comment ref="N103" authorId="1" shapeId="0" xr:uid="{00000000-0006-0000-0000-0000F8000000}">
      <text>
        <r>
          <rPr>
            <b/>
            <sz val="9"/>
            <color indexed="81"/>
            <rFont val="Tahoma"/>
            <family val="2"/>
          </rPr>
          <t>Gloria A. Sanchez M.:</t>
        </r>
        <r>
          <rPr>
            <sz val="9"/>
            <color indexed="81"/>
            <rFont val="Tahoma"/>
            <family val="2"/>
          </rPr>
          <t xml:space="preserve">
OCTUBRE: se observa que de los 128 requerimientos enviados por los trabajadores a través del el software Mesa de Ayuda, casos reportados y también con solicitudes enviadas al correo,125 se atendieron en el tiempo establecido, está medición se basa en informe del aplicativo Mesa de ayuda, casos aplicativos, solicitudes enviadas al correo. se ha tenido la asesoría y capacitación permanente del equipo de trabajo de sistemas , el soporte es constante tanto en solicitudes de correo por parte de estudiantes, como soporte a los usuarios del área financiera y de gestión humana.
</t>
        </r>
      </text>
    </comment>
    <comment ref="O103" authorId="1" shapeId="0" xr:uid="{00000000-0006-0000-0000-0000F9000000}">
      <text>
        <r>
          <rPr>
            <b/>
            <sz val="9"/>
            <color indexed="81"/>
            <rFont val="Tahoma"/>
            <family val="2"/>
          </rPr>
          <t>Gloria A. Sanchez M.:</t>
        </r>
        <r>
          <rPr>
            <sz val="9"/>
            <color indexed="81"/>
            <rFont val="Tahoma"/>
            <family val="2"/>
          </rPr>
          <t xml:space="preserve">
NOVIEMBRE: se observa que de los 123 requerimientos enviados por los trabajadores a través del el software Mesa de Ayuda, casos reportados y también con solicitudes enviadas al correo,122 se atendieron en el tiempo establecido, está medición se basa en informe del aplicativo Mesa de ayuda, casos aplicativos, solicitudes enviadas al correo. se ha tenido la asesoría y capacitación permanente del equipo de trabajo de sistemas , el soporte es constante tanto en solicitudes de correo por parte de estudiantes, como soporte a los usuarios del área financiera y de gestión humana.
</t>
        </r>
      </text>
    </comment>
    <comment ref="P103" authorId="1" shapeId="0" xr:uid="{00000000-0006-0000-0000-0000FA000000}">
      <text>
        <r>
          <rPr>
            <b/>
            <sz val="9"/>
            <color indexed="81"/>
            <rFont val="Tahoma"/>
            <family val="2"/>
          </rPr>
          <t>Gloria A. Sanchez M.:</t>
        </r>
        <r>
          <rPr>
            <sz val="9"/>
            <color indexed="81"/>
            <rFont val="Tahoma"/>
            <family val="2"/>
          </rPr>
          <t xml:space="preserve">
DICIEMBRE: se observa que de los 54 requerimientos enviados por los trabajadores a través del el software Mesa de Ayuda, casos reportados y también con solicitudes enviadas al correo,53 se atendieron en el tiempo establecido, está medición se basa en informe del aplicativo Mesa de ayuda, casos aplicativos, solicitudes enviadas al correo. se ha tenido la asesoría y capacitación permanente del equipo de trabajo de sistemas , el soporte es constante tanto en solicitudes de correo por parte de estudiantes, como soporte a los usuarios del área financiera y de gestión humana. En el mes de diciembre se laboró hasta el día 16 por esto la disminucion de solicitudes</t>
        </r>
      </text>
    </comment>
    <comment ref="D105" authorId="0" shapeId="0" xr:uid="{00000000-0006-0000-0000-0000FB000000}">
      <text>
        <r>
          <rPr>
            <b/>
            <sz val="9"/>
            <color indexed="81"/>
            <rFont val="Tahoma"/>
            <family val="2"/>
          </rPr>
          <t>Gloria Amparo Sanchez:</t>
        </r>
        <r>
          <rPr>
            <sz val="9"/>
            <color indexed="81"/>
            <rFont val="Tahoma"/>
            <family val="2"/>
          </rPr>
          <t xml:space="preserve">
RANGO BUENO:  85% - 96,9%</t>
        </r>
      </text>
    </comment>
    <comment ref="E105" authorId="1" shapeId="0" xr:uid="{00000000-0006-0000-0000-0000FC000000}">
      <text>
        <r>
          <rPr>
            <b/>
            <sz val="9"/>
            <color indexed="81"/>
            <rFont val="Tahoma"/>
            <family val="2"/>
          </rPr>
          <t>Gloria A. Sanchez M.:</t>
        </r>
        <r>
          <rPr>
            <sz val="9"/>
            <color indexed="81"/>
            <rFont val="Tahoma"/>
            <family val="2"/>
          </rPr>
          <t xml:space="preserve">
ENERO: Se cumplió la meta del 100% de los 461 equipos de cómputo y portátiles que se tienen al servicio de estudiantes y docentes (Sede Centro: 129 equipos de cómputo, Sede Belmonte: 332 equipos de cómputo, de los cuales Posgrados: 8 equipos de cómputo, Consultorio Jurídico: 53 equipos de cómputo para un total de equipos de cómputo de 461), a todos se les realizó la verificación de que estén funcionando correctamente , y se encuentren en buen estado, está medición se basa en informe de control de equipos de salas y portátiles realizados por el personal de audiovisuales. Es de aclarar que los 22 equipos portátiles que se tenían prestados a los estudiantes fueron devueltos y se dan de baja por obsolecencia tecnológica</t>
        </r>
      </text>
    </comment>
    <comment ref="F105" authorId="1" shapeId="0" xr:uid="{00000000-0006-0000-0000-0000FD000000}">
      <text>
        <r>
          <rPr>
            <b/>
            <sz val="9"/>
            <color indexed="81"/>
            <rFont val="Tahoma"/>
            <family val="2"/>
          </rPr>
          <t>Gloria A. Sanchez M.:</t>
        </r>
        <r>
          <rPr>
            <sz val="9"/>
            <color indexed="81"/>
            <rFont val="Tahoma"/>
            <family val="2"/>
          </rPr>
          <t xml:space="preserve">
FEBRERO: Se cumplió la meta del 100% de los 461 equipos de cómputo y portátiles que se tienen al servicio de estudiantes y docentes (Sede Centro: 129 equipos de cómputo, Sede Belmonte: 332 equipos de cómputo, de los cuales Posgrados: 8 equipos de cómputo, Consultorio Jurídico: 53 equipos de cómputo para un total de equipos de cómputo de 461), a todos se les realizó la verificación de que estén funcionando correctamente , y se encuentren en buen estado, está medición se basa en informe de control de equipos de salas y portátiles realizados por el personal de audiovisuales.</t>
        </r>
      </text>
    </comment>
    <comment ref="G105" authorId="1" shapeId="0" xr:uid="{00000000-0006-0000-0000-0000FE000000}">
      <text>
        <r>
          <rPr>
            <b/>
            <sz val="9"/>
            <color indexed="81"/>
            <rFont val="Tahoma"/>
            <family val="2"/>
          </rPr>
          <t>Gloria A. Sanchez M.:</t>
        </r>
        <r>
          <rPr>
            <sz val="9"/>
            <color indexed="81"/>
            <rFont val="Tahoma"/>
            <family val="2"/>
          </rPr>
          <t xml:space="preserve">
MARZO: Se cumplió la meta del 100% de los 461 equipos de cómputo y portátiles que se tienen al servicio de estudiantes y docentes (Sede Centro: 129 equipos de cómputo, Sede Belmonte: 332 equipos de cómputo, de los cuales Posgrados: 8 equipos de cómputo, Consultorio Jurídico: 53 equipos de cómputo para un total de equipos de cómputo de 461), a todos se les realizó la verificación de que estén funcionando correctamente , y se encuentren en buen estado, está medición se basa en informe de control de equipos de salas y portátiles realizados por el personal de audiovisuales.</t>
        </r>
      </text>
    </comment>
    <comment ref="H105" authorId="1" shapeId="0" xr:uid="{00000000-0006-0000-0000-0000FF000000}">
      <text>
        <r>
          <rPr>
            <b/>
            <sz val="9"/>
            <color indexed="81"/>
            <rFont val="Tahoma"/>
            <family val="2"/>
          </rPr>
          <t>Gloria A. Sanchez M.:</t>
        </r>
        <r>
          <rPr>
            <sz val="9"/>
            <color indexed="81"/>
            <rFont val="Tahoma"/>
            <family val="2"/>
          </rPr>
          <t xml:space="preserve">
ABRIL: Se cumplió la meta del 100% de los 461 equipos de cómputo y portátiles que se tienen al servicio de estudiantes y docentes (Sede Centro: 129 equipos de cómputo, Sede Belmonte: 332 equipos de cómputo, de los cuales Posgrados: 8 equipos de cómputo, Consultorio Jurídico: 53 equipos de cómputo para un total de equipos de cómputo de 461), a todos se les realizó la verificación de que estén funcionando correctamente , y se encuentren en buen estado, está medición se basa en informe de control de equipos de salas y portátiles realizados por el personal de audiovisuales.</t>
        </r>
      </text>
    </comment>
    <comment ref="I105" authorId="1" shapeId="0" xr:uid="{00000000-0006-0000-0000-000000010000}">
      <text>
        <r>
          <rPr>
            <b/>
            <sz val="9"/>
            <color indexed="81"/>
            <rFont val="Tahoma"/>
            <family val="2"/>
          </rPr>
          <t>Gloria A. Sanchez M.:</t>
        </r>
        <r>
          <rPr>
            <sz val="9"/>
            <color indexed="81"/>
            <rFont val="Tahoma"/>
            <family val="2"/>
          </rPr>
          <t xml:space="preserve">
MAYO: Se cumplió la meta del 100% de los 461 equipos de cómputo y portátiles que se tienen al servicio de estudiantes y docentes (Sede Centro: 129 equipos de cómputo, Sede Belmonte: 332 equipos de cómputo, de los cuales Posgrados: 8 equipos de cómputo, Consultorio Jurídico: 53 equipos de cómputo para un total de equipos de cómputo de 461), a todos se les realizó la verificación de que estén funcionando correctamente , y se encuentren en buen estado, está medición se basa en informe de control de equipos de salas y portátiles realizados por el personal de audiovisuales.</t>
        </r>
      </text>
    </comment>
    <comment ref="J105" authorId="1" shapeId="0" xr:uid="{00000000-0006-0000-0000-000001010000}">
      <text>
        <r>
          <rPr>
            <b/>
            <sz val="9"/>
            <color indexed="81"/>
            <rFont val="Tahoma"/>
            <family val="2"/>
          </rPr>
          <t>Gloria A. Sanchez M.:</t>
        </r>
        <r>
          <rPr>
            <sz val="9"/>
            <color indexed="81"/>
            <rFont val="Tahoma"/>
            <family val="2"/>
          </rPr>
          <t xml:space="preserve">
JUNIO: Se superó la meta nacional del 100% , obteniéndose en la seccional un resultado del 100%. Los 461 equipos de cómputo y portátiles que se tienen al servicio de estudiantes y docentes a todos se les realizó la verificación de que estén funcionando correctamente , y se encuentren en buen estado, está medición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r>
      </text>
    </comment>
    <comment ref="K105" authorId="1" shapeId="0" xr:uid="{00000000-0006-0000-0000-000002010000}">
      <text>
        <r>
          <rPr>
            <b/>
            <sz val="9"/>
            <color indexed="81"/>
            <rFont val="Tahoma"/>
            <family val="2"/>
          </rPr>
          <t>Gloria A. Sanchez M.:</t>
        </r>
        <r>
          <rPr>
            <sz val="9"/>
            <color indexed="81"/>
            <rFont val="Tahoma"/>
            <family val="2"/>
          </rPr>
          <t xml:space="preserve">
JULIO: Se superó la meta nacional del 97% , obteniéndose en la seccional un resultado del 98,70%. Los 461 equipos de cómputo y portátiles que se tienen al servicio de estudiantes y docentes a todos se les realizó la verificación de que estén funcionando correctamente , y se encuentren en buen estado, De estos equipos 6 presentaron falla, está medición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r>
      </text>
    </comment>
    <comment ref="L105" authorId="1" shapeId="0" xr:uid="{00000000-0006-0000-0000-000003010000}">
      <text>
        <r>
          <rPr>
            <b/>
            <sz val="9"/>
            <color indexed="81"/>
            <rFont val="Tahoma"/>
            <family val="2"/>
          </rPr>
          <t>Gloria A. Sanchez M.:</t>
        </r>
        <r>
          <rPr>
            <sz val="9"/>
            <color indexed="81"/>
            <rFont val="Tahoma"/>
            <family val="2"/>
          </rPr>
          <t xml:space="preserve">
AGOSTO: Se superó la meta nacional del 97% , obteniéndose en la seccional un resultado del 98,92%. Los 461 equipos de cómputo y portátiles que se tienen al servicio de estudiantes y docentes a todos se les realizó la verificación de que estén funcionando correctamente , y se encuentren en buen estado, De estos equipos 5 presentaron falla, está medición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r>
      </text>
    </comment>
    <comment ref="M105" authorId="1" shapeId="0" xr:uid="{00000000-0006-0000-0000-000004010000}">
      <text>
        <r>
          <rPr>
            <b/>
            <sz val="9"/>
            <color indexed="81"/>
            <rFont val="Tahoma"/>
            <family val="2"/>
          </rPr>
          <t>Gloria A. Sanchez M.:</t>
        </r>
        <r>
          <rPr>
            <sz val="9"/>
            <color indexed="81"/>
            <rFont val="Tahoma"/>
            <family val="2"/>
          </rPr>
          <t xml:space="preserve">
SEPTIEMBRE: Se superó la meta nacional del 97% , obteniéndose en la seccional un resultado del 98,70%. Los 461 equipos de cómputo y portátiles que se tienen al servicio de estudiantes y docentes a todos se les realizó la verificación de que estén funcionando correctamente , y se encuentren en buen estado, De estos equipos 6 presentaron falla, está medición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r>
      </text>
    </comment>
    <comment ref="N105" authorId="1" shapeId="0" xr:uid="{00000000-0006-0000-0000-000005010000}">
      <text>
        <r>
          <rPr>
            <b/>
            <sz val="9"/>
            <color indexed="81"/>
            <rFont val="Tahoma"/>
            <family val="2"/>
          </rPr>
          <t>Gloria A. Sanchez M.:</t>
        </r>
        <r>
          <rPr>
            <sz val="9"/>
            <color indexed="81"/>
            <rFont val="Tahoma"/>
            <family val="2"/>
          </rPr>
          <t xml:space="preserve">
OCTUBRE: Se superó la meta nacional del 97% , obteniéndose en la seccional un resultado del 98,48%. Los 461 equipos de cómputo y portátiles que se tienen al servicio de estudiantes y docentes a todos se les realizó la verificación de que estén funcionando correctamente , y se encuentren en buen estado, De estos equipos 7 presentaron falla, está medición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r>
      </text>
    </comment>
    <comment ref="O105" authorId="1" shapeId="0" xr:uid="{00000000-0006-0000-0000-000006010000}">
      <text>
        <r>
          <rPr>
            <b/>
            <sz val="9"/>
            <color indexed="81"/>
            <rFont val="Tahoma"/>
            <family val="2"/>
          </rPr>
          <t>Gloria A. Sanchez M.:</t>
        </r>
        <r>
          <rPr>
            <sz val="9"/>
            <color indexed="81"/>
            <rFont val="Tahoma"/>
            <family val="2"/>
          </rPr>
          <t xml:space="preserve">
NOVIEMBRE: Se superó la meta nacional del 97% , obteniéndose en la seccional un resultado del 98,92%. Los 461 equipos de cómputo y portátiles que se tienen al servicio de estudiantes y docentes a todos se les realizó la verificación de que estén funcionando correctamente , y se encuentren en buen estado, De estos equipos5 presentaron falla, está medición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r>
      </text>
    </comment>
    <comment ref="P105" authorId="1" shapeId="0" xr:uid="{00000000-0006-0000-0000-000007010000}">
      <text>
        <r>
          <rPr>
            <b/>
            <sz val="9"/>
            <color indexed="81"/>
            <rFont val="Tahoma"/>
            <family val="2"/>
          </rPr>
          <t>Gloria A. Sanchez M.:</t>
        </r>
        <r>
          <rPr>
            <sz val="9"/>
            <color indexed="81"/>
            <rFont val="Tahoma"/>
            <family val="2"/>
          </rPr>
          <t xml:space="preserve">
DICIEMBRE: Se superó la meta nacional del 97% , obteniéndose en la seccional un resultado del 98,48%. Los 461 equipos de cómputo y portátiles que se tienen al servicio de estudiantes y docentes a todos se les realizó la verificación de que estén funcionando correctamente , y se encuentren en buen estado, De estos equipos 7 presentaron falla, está medición . La fuente para la medición de este indicador se basa en el informe de control de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r>
      </text>
    </comment>
    <comment ref="D107" authorId="0" shapeId="0" xr:uid="{00000000-0006-0000-0000-000008010000}">
      <text>
        <r>
          <rPr>
            <b/>
            <sz val="9"/>
            <color indexed="81"/>
            <rFont val="Tahoma"/>
            <family val="2"/>
          </rPr>
          <t>Gloria Amparo Sanchez:</t>
        </r>
        <r>
          <rPr>
            <sz val="9"/>
            <color indexed="81"/>
            <rFont val="Tahoma"/>
            <family val="2"/>
          </rPr>
          <t xml:space="preserve">
RANGO BUENO:  85% - 96,9%</t>
        </r>
      </text>
    </comment>
    <comment ref="E107" authorId="1" shapeId="0" xr:uid="{00000000-0006-0000-0000-000009010000}">
      <text>
        <r>
          <rPr>
            <b/>
            <sz val="9"/>
            <color indexed="81"/>
            <rFont val="Tahoma"/>
            <family val="2"/>
          </rPr>
          <t>Gloria A. Sanchez M.:</t>
        </r>
        <r>
          <rPr>
            <sz val="9"/>
            <color indexed="81"/>
            <rFont val="Tahoma"/>
            <family val="2"/>
          </rPr>
          <t xml:space="preserve">
ENERO: Se cumplió la meta del 100% de los 461 equipos de cómputo y portátiles que se tienen al servicio de estudiantes y docentes (Sede Centro: 129 equipos de cómputo, Sede Belmonte: 332 equipos de cómputo, de los cuales Posgrados: 8 equipos de cómputo, Consultorio Jurídico: 53 equipos de cómputo para un total de equipos de cómputo de 461), a todos se les realizó la verificación de que estén funcionando correctamente , y se encuentren en buen estado, la fuente para hacer la medición es la herramienta de incidentes de equipos de salas y portátiles realizados por el personal de audiovisuales.
los equipos que se tenían prestados a estudiantes 22 portátiles , se devolvieron pero ya están para bajas por la obsolescencia tecnológica</t>
        </r>
      </text>
    </comment>
    <comment ref="F107" authorId="1" shapeId="0" xr:uid="{00000000-0006-0000-0000-00000A010000}">
      <text>
        <r>
          <rPr>
            <b/>
            <sz val="9"/>
            <color indexed="81"/>
            <rFont val="Tahoma"/>
            <family val="2"/>
          </rPr>
          <t>Gloria A. Sanchez M.:</t>
        </r>
        <r>
          <rPr>
            <sz val="9"/>
            <color indexed="81"/>
            <rFont val="Tahoma"/>
            <family val="2"/>
          </rPr>
          <t xml:space="preserve">
FEBRERO: Se cumplió la meta del 100% de los 461 equipos de cómputo y portátiles que se tienen al servicio de estudiantes y docentes (Sede Centro: 129 equipos de cómputo, Sede Belmonte: 332 equipos de cómputo, de los cuales Posgrados: 8 equipos de cómputo, Consultorio Jurídico: 53 equipos de cómputo para un total de equipos de cómputo de 461), a todos se les realizó la verificación de que estén funcionando correctamente , y se encuentren en buen estado, la fuente para hacer la medición es la herramienta de incidentes de equipos de salas y portátiles realizados por el personal de audiovisuales.
</t>
        </r>
      </text>
    </comment>
    <comment ref="G107" authorId="1" shapeId="0" xr:uid="{00000000-0006-0000-0000-00000B010000}">
      <text>
        <r>
          <rPr>
            <b/>
            <sz val="9"/>
            <color indexed="81"/>
            <rFont val="Tahoma"/>
            <family val="2"/>
          </rPr>
          <t>Gloria A. Sanchez M.:</t>
        </r>
        <r>
          <rPr>
            <sz val="9"/>
            <color indexed="81"/>
            <rFont val="Tahoma"/>
            <family val="2"/>
          </rPr>
          <t xml:space="preserve">
MARZO: Se cumplió la meta del 100% de los 461 equipos de cómputo y portátiles que se tienen al servicio de estudiantes y docentes (Sede Centro: 129 equipos de cómputo, Sede Belmonte: 332 equipos de cómputo, de los cuales Posgrados: 8 equipos de cómputo, Consultorio Jurídico: 53 equipos de cómputo para un total de equipos de cómputo de 461), a todos se les realizó la verificación de que estén funcionando correctamente , y se encuentren en buen estado, la fuente para hacer la medición es la herramienta de incidentes de equipos de salas y portátiles realizados por el personal de audiovisuales.</t>
        </r>
      </text>
    </comment>
    <comment ref="H107" authorId="1" shapeId="0" xr:uid="{00000000-0006-0000-0000-00000C010000}">
      <text>
        <r>
          <rPr>
            <b/>
            <sz val="9"/>
            <color indexed="81"/>
            <rFont val="Tahoma"/>
            <family val="2"/>
          </rPr>
          <t>Gloria A. Sanchez M.:</t>
        </r>
        <r>
          <rPr>
            <sz val="9"/>
            <color indexed="81"/>
            <rFont val="Tahoma"/>
            <family val="2"/>
          </rPr>
          <t xml:space="preserve">
ABRIL: Se cumplió la meta del 100% de los 461 equipos de cómputo y portátiles que se tienen al servicio de estudiantes y docentes (Sede Centro: 129 equipos de cómputo, Sede Belmonte: 332 equipos de cómputo, de los cuales Posgrados: 8 equipos de cómputo, Consultorio Jurídico: 53 equipos de cómputo para un total de equipos de cómputo de 461), a todos se les realizó la verificación de que estén funcionando correctamente , y se encuentren en buen estado, la fuente para hacer la medición es la herramienta de incidentes de equipos de salas y portátiles realizados por el personal de audiovisuales.</t>
        </r>
      </text>
    </comment>
    <comment ref="I107" authorId="1" shapeId="0" xr:uid="{00000000-0006-0000-0000-00000D010000}">
      <text>
        <r>
          <rPr>
            <b/>
            <sz val="9"/>
            <color indexed="81"/>
            <rFont val="Tahoma"/>
            <family val="2"/>
          </rPr>
          <t>Gloria A. Sanchez M.:</t>
        </r>
        <r>
          <rPr>
            <sz val="9"/>
            <color indexed="81"/>
            <rFont val="Tahoma"/>
            <family val="2"/>
          </rPr>
          <t xml:space="preserve">
MAYO: Se cumplió la meta del 100% de los 461 equipos de cómputo y portátiles que se tienen al servicio de estudiantes y docentes (Sede Centro: 129 equipos de cómputo, Sede Belmonte: 332 equipos de cómputo, de los cuales Posgrados: 8 equipos de cómputo, Consultorio Jurídico: 53 equipos de cómputo para un total de equipos de cómputo de 461), a todos se les realizó la verificación de que estén funcionando correctamente , y se encuentren en buen estado, la fuente para hacer la medición es la herramienta de incidentes de equipos de salas y portátiles realizados por el personal de audiovisuales.</t>
        </r>
      </text>
    </comment>
    <comment ref="J107" authorId="1" shapeId="0" xr:uid="{00000000-0006-0000-0000-00000E010000}">
      <text>
        <r>
          <rPr>
            <b/>
            <sz val="9"/>
            <color indexed="81"/>
            <rFont val="Tahoma"/>
            <family val="2"/>
          </rPr>
          <t>Gloria A. Sanchez M.:</t>
        </r>
        <r>
          <rPr>
            <sz val="9"/>
            <color indexed="81"/>
            <rFont val="Tahoma"/>
            <family val="2"/>
          </rPr>
          <t xml:space="preserve">
JUNIO: Se superó la meta estándar nacional del 100%. Los 461 equipos de cómputo y portátiles que se tienen al servicio de estudiantes y docentes a todos se les realizó la verificación de que estén funcionando correctamente , y se encuentren en buen estado,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r>
      </text>
    </comment>
    <comment ref="K107" authorId="1" shapeId="0" xr:uid="{00000000-0006-0000-0000-00000F010000}">
      <text>
        <r>
          <rPr>
            <b/>
            <sz val="9"/>
            <color indexed="81"/>
            <rFont val="Tahoma"/>
            <family val="2"/>
          </rPr>
          <t>Gloria A. Sanchez M.:</t>
        </r>
        <r>
          <rPr>
            <sz val="9"/>
            <color indexed="81"/>
            <rFont val="Tahoma"/>
            <family val="2"/>
          </rPr>
          <t xml:space="preserve">
JULIO: Se superó la meta estándar nacional del 97%. Los 461 equipos de cómputo y portátiles que se tienen al servicio de estudiantes y docentes a todos se les realizó la verificación de que estén funcionando correctamente , y se encuentren en buen estado, Con 6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r>
      </text>
    </comment>
    <comment ref="L107" authorId="1" shapeId="0" xr:uid="{00000000-0006-0000-0000-000010010000}">
      <text>
        <r>
          <rPr>
            <b/>
            <sz val="9"/>
            <color indexed="81"/>
            <rFont val="Tahoma"/>
            <family val="2"/>
          </rPr>
          <t>Gloria A. Sanchez M.:</t>
        </r>
        <r>
          <rPr>
            <sz val="9"/>
            <color indexed="81"/>
            <rFont val="Tahoma"/>
            <family val="2"/>
          </rPr>
          <t xml:space="preserve">
AGOSTO: Se superó la meta estándar nacional del 97%. Los 461 equipos de cómputo y portátiles que se tienen al servicio de estudiantes y docentes a todos se les realizó la verificación de que estén funcionando correctamente , y se encuentren en buen estado, Con 5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
</t>
        </r>
      </text>
    </comment>
    <comment ref="M107" authorId="1" shapeId="0" xr:uid="{00000000-0006-0000-0000-000011010000}">
      <text>
        <r>
          <rPr>
            <b/>
            <sz val="9"/>
            <color indexed="81"/>
            <rFont val="Tahoma"/>
            <family val="2"/>
          </rPr>
          <t>Gloria A. Sanchez M.:</t>
        </r>
        <r>
          <rPr>
            <sz val="9"/>
            <color indexed="81"/>
            <rFont val="Tahoma"/>
            <family val="2"/>
          </rPr>
          <t xml:space="preserve">
SEPTIEMBRE: Se superó la meta estándar nacional del 97%. Los 461 equipos de cómputo y portátiles que se tienen al servicio de estudiantes y docentes a todos se les realizó la verificación de que estén funcionando correctamente , y se encuentren en buen estado, Con 7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r>
      </text>
    </comment>
    <comment ref="N107" authorId="1" shapeId="0" xr:uid="{00000000-0006-0000-0000-000012010000}">
      <text>
        <r>
          <rPr>
            <b/>
            <sz val="9"/>
            <color indexed="81"/>
            <rFont val="Tahoma"/>
            <family val="2"/>
          </rPr>
          <t>Gloria A. Sanchez M.:</t>
        </r>
        <r>
          <rPr>
            <sz val="9"/>
            <color indexed="81"/>
            <rFont val="Tahoma"/>
            <family val="2"/>
          </rPr>
          <t xml:space="preserve">
OCTUBRE: Se superó la meta estándar nacional del 97%. Los 461 equipos de cómputo y portátiles que se tienen al servicio de estudiantes y docentes a todos se les realizó la verificación de que estén funcionando correctamente , y se encuentren en buen estado, Con 9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r>
      </text>
    </comment>
    <comment ref="O107" authorId="1" shapeId="0" xr:uid="{00000000-0006-0000-0000-000013010000}">
      <text>
        <r>
          <rPr>
            <b/>
            <sz val="9"/>
            <color indexed="81"/>
            <rFont val="Tahoma"/>
            <family val="2"/>
          </rPr>
          <t>Gloria A. Sanchez M.:</t>
        </r>
        <r>
          <rPr>
            <sz val="9"/>
            <color indexed="81"/>
            <rFont val="Tahoma"/>
            <family val="2"/>
          </rPr>
          <t xml:space="preserve">
NOVIEMBRE: Se superó la meta estándar nacional del 97%. Los 461 equipos de cómputo y portátiles que se tienen al servicio de estudiantes y docentes a todos se les realizó la verificación de que estén funcionando correctamente , y se encuentren en buen estado, Con 9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r>
      </text>
    </comment>
    <comment ref="P107" authorId="1" shapeId="0" xr:uid="{00000000-0006-0000-0000-000014010000}">
      <text>
        <r>
          <rPr>
            <b/>
            <sz val="9"/>
            <color indexed="81"/>
            <rFont val="Tahoma"/>
            <family val="2"/>
          </rPr>
          <t>Gloria A. Sanchez M.:</t>
        </r>
        <r>
          <rPr>
            <sz val="9"/>
            <color indexed="81"/>
            <rFont val="Tahoma"/>
            <family val="2"/>
          </rPr>
          <t xml:space="preserve">
DICIEMBRE: Se superó la meta estándar nacional del 97%. Los 461 equipos de cómputo y portátiles que se tienen al servicio de estudiantes y docentes a todos se les realizó la verificación de que estén funcionando correctamente , y se encuentren en buen estado, Con 5 equipos se presentaron incidentes, la fuente para hacer la medición es la herramienta de incidentes de los equipos de salas y portátiles realizados por el personal de audiovisuales.(Sede Centro: 129 equipos de cómputo, Sede Belmonte: 332 equipos de cómputo, de los cuales Posgrados: 8 equipos de cómputo, Consultorio Jurídico: 53 equipos de cómputo para un total de equipos de cómputo de 461)</t>
        </r>
      </text>
    </comment>
    <comment ref="E113" authorId="1" shapeId="0" xr:uid="{00000000-0006-0000-0000-000015010000}">
      <text>
        <r>
          <rPr>
            <b/>
            <sz val="9"/>
            <color indexed="81"/>
            <rFont val="Tahoma"/>
            <family val="2"/>
          </rPr>
          <t>Gloria A. Sanchez M.:</t>
        </r>
        <r>
          <rPr>
            <sz val="9"/>
            <color indexed="81"/>
            <rFont val="Tahoma"/>
            <family val="2"/>
          </rPr>
          <t xml:space="preserve">
SEM 1. No se cumple con la meta nacional del 100%, en la seccional, si se cumple con el rango bueno.  Se obtuvo un resultado del 96,84%. De 316 solicitudes se atendieron oportunamente 306. Los 10 restantes obedecen a solicitudes que requerían la compra de insumos o elementos para atender y no se cumplió los tiempos establecidos. Otras de las actividades se desarrollaron posterior por condiciones como el clima, o depender de terceros para ejecutar la tarea. Estas labores que exigen más tiempo del establecido en los acuerdos de servicios. Como oportunidad de mejora se hará solicitud de cambio del acuerdo de servicio, ya que es imposible llegar al 100% en temas de mantenimiento</t>
        </r>
      </text>
    </comment>
    <comment ref="K113" authorId="1" shapeId="0" xr:uid="{00000000-0006-0000-0000-000016010000}">
      <text>
        <r>
          <rPr>
            <b/>
            <sz val="9"/>
            <color indexed="81"/>
            <rFont val="Tahoma"/>
            <family val="2"/>
          </rPr>
          <t>Gloria A. Sanchez M.:</t>
        </r>
        <r>
          <rPr>
            <sz val="9"/>
            <color indexed="81"/>
            <rFont val="Tahoma"/>
            <family val="2"/>
          </rPr>
          <t xml:space="preserve">
SEM 2. Se obtuvo un resultado del 98,7%. De 305 solicitudes se atendieron oportunamente 301. Los 4restantes obedecen a solicitudes que requerían la compra de insumos o elementos para atender y no se cumplió los tiempos establecidos. Otras de las actividades se desarrollaron posterior por condiciones como el clima, o depender de terceros para ejecutar la tarea. Estas labores que exigen más tiempo del establecido en los acuerdos de servicios. Como oportunidad de mejora se hará solicitud de cambio del acuerdo de servicio, ya que es imposible llegar al 100% en temas de mantenimiento</t>
        </r>
      </text>
    </comment>
    <comment ref="E114" authorId="1" shapeId="0" xr:uid="{00000000-0006-0000-0000-000017010000}">
      <text>
        <r>
          <rPr>
            <b/>
            <sz val="9"/>
            <color indexed="81"/>
            <rFont val="Tahoma"/>
            <family val="2"/>
          </rPr>
          <t>Gloria A. Sanchez M.:</t>
        </r>
        <r>
          <rPr>
            <sz val="9"/>
            <color indexed="81"/>
            <rFont val="Tahoma"/>
            <family val="2"/>
          </rPr>
          <t xml:space="preserve">
AÑO 2022: No se cumple la meta del 90%, se cumple con el rango bueno, obteniéndose un resultado en la seccional del 82,35%. De las 17 actividades planeadas, no se ejecutaron 3 por temas de ejecución de recursos (austeridad en el gasto). Entre los que tenemos: la actualización del POC de la seccional, reposición de aires acondicionados en salones sede centro. Entre las actividades se tenía mantenimiento de vehículos los cuales no se realizó se hicieron las requisiciones pera la Universidad no los contrato. Como oportunidad de mejora dos actividades se reprogramaron para la vigencia 2023.</t>
        </r>
      </text>
    </comment>
    <comment ref="E115" authorId="1" shapeId="0" xr:uid="{00000000-0006-0000-0000-000018010000}">
      <text>
        <r>
          <rPr>
            <b/>
            <sz val="9"/>
            <color indexed="81"/>
            <rFont val="Tahoma"/>
            <family val="2"/>
          </rPr>
          <t>Gloria A. Sanchez M.:</t>
        </r>
        <r>
          <rPr>
            <sz val="9"/>
            <color indexed="81"/>
            <rFont val="Tahoma"/>
            <family val="2"/>
          </rPr>
          <t xml:space="preserve">
SEM 1. se cumple la meta, de los 310 servicios, todos fueron calificados entre 4 y 5 bueno - excelente.</t>
        </r>
      </text>
    </comment>
    <comment ref="K115" authorId="1" shapeId="0" xr:uid="{00000000-0006-0000-0000-000019010000}">
      <text>
        <r>
          <rPr>
            <b/>
            <sz val="9"/>
            <color indexed="81"/>
            <rFont val="Tahoma"/>
            <family val="2"/>
          </rPr>
          <t>Gloria A. Sanchez M.:</t>
        </r>
        <r>
          <rPr>
            <sz val="9"/>
            <color indexed="81"/>
            <rFont val="Tahoma"/>
            <family val="2"/>
          </rPr>
          <t xml:space="preserve">
SEM 2. Se cumplió la meta nacional del 90%, obteníéndose en la seccional el 100% de satisfacción, de los 305 servicios, todos fueron calificados entre 4 y 5 bueno - excelente.</t>
        </r>
      </text>
    </comment>
    <comment ref="D116" authorId="0" shapeId="0" xr:uid="{00000000-0006-0000-0000-00001A010000}">
      <text>
        <r>
          <rPr>
            <b/>
            <sz val="9"/>
            <color indexed="81"/>
            <rFont val="Tahoma"/>
            <family val="2"/>
          </rPr>
          <t>Gloria Amparo Sanchez:</t>
        </r>
        <r>
          <rPr>
            <sz val="9"/>
            <color indexed="81"/>
            <rFont val="Tahoma"/>
            <family val="2"/>
          </rPr>
          <t xml:space="preserve">
RANGO BUENO: 50%-70%</t>
        </r>
      </text>
    </comment>
    <comment ref="E116" authorId="1" shapeId="0" xr:uid="{00000000-0006-0000-0000-00001B010000}">
      <text>
        <r>
          <rPr>
            <b/>
            <sz val="9"/>
            <color indexed="81"/>
            <rFont val="Tahoma"/>
            <family val="2"/>
          </rPr>
          <t>Gloria A. Sanchez M.:</t>
        </r>
        <r>
          <rPr>
            <sz val="9"/>
            <color indexed="81"/>
            <rFont val="Tahoma"/>
            <family val="2"/>
          </rPr>
          <t xml:space="preserve">
Durante el segundo semestre del 2022, se cumplió con la meta estándar nacional del 70%, obteniéndose un resultado seccional del 96% de cumplimiento, de un total de 27 oficinas programadas para transferencia documental en el año 2022, se ejecutó el proceso en 26 oficinas. La única oficina que no fue posible el proceso, fue por motivos de una licencia del funcionario, puesto que no se encontraba sino hasta finales del mes de diciembre.
Por otro lado, es importante resaltar, que adicional a las oficinas programadas para las transferencias documentales se recibió documentación de 5 oficinas más, que no se encontraban dentro de la programación inicialmente propuesta. Que por solicitud de las mismas oficinas y disposición para la entrega de la documentación cumpliendo con los términos indicados en los procedimientos de organización de archivos de gestión y de transferencias documentales, solicitaron dicho proceso para evitar acumulación de documentación en las oficinas. Como resultado final, 31 oficinas realizaron el proceso de transferencias documentales en la seccional durante el año 2022, alcanzando de esta manera el 114,8% de cumplimiento.
Para todas las oficinas, se realizó el seguimiento previo a la ejecución de las transferencias documentales y se registró en el informe de novedades y/u observaciones por cada transferencia, los términos que deben mejorar y los ajustes que se deben llevar a cabo para cumplir para las próximas transferencias.
El volumen total del proceso de transferencias fueron los siguientes: 557 cajas de archivo inactivo entre cajas referencia x100 y x300; 3.037 unidades de conservación entre carpetas y tomos. Para un total de 422.719 folios transferidos.
</t>
        </r>
      </text>
    </comment>
    <comment ref="D117" authorId="0" shapeId="0" xr:uid="{00000000-0006-0000-0000-00001C010000}">
      <text>
        <r>
          <rPr>
            <b/>
            <sz val="9"/>
            <color indexed="81"/>
            <rFont val="Tahoma"/>
            <family val="2"/>
          </rPr>
          <t>Gloria Amparo Sanchez:</t>
        </r>
        <r>
          <rPr>
            <sz val="9"/>
            <color indexed="81"/>
            <rFont val="Tahoma"/>
            <family val="2"/>
          </rPr>
          <t xml:space="preserve">
RANGO BUENO: 60%-80%</t>
        </r>
      </text>
    </comment>
    <comment ref="E117" authorId="1" shapeId="0" xr:uid="{00000000-0006-0000-0000-00001D010000}">
      <text>
        <r>
          <rPr>
            <b/>
            <sz val="9"/>
            <color indexed="81"/>
            <rFont val="Tahoma"/>
            <family val="2"/>
          </rPr>
          <t>Gloria A. Sanchez M.:</t>
        </r>
        <r>
          <rPr>
            <sz val="9"/>
            <color indexed="81"/>
            <rFont val="Tahoma"/>
            <family val="2"/>
          </rPr>
          <t xml:space="preserve">
ENERO: Se superó la meta nacional del 80%, se recibió y gestionó 4 expedientes para consulta y préstamo de las oficinas de Administración de Personal y Registro y Control. Las cuales fueron atendidas dentro del tiempo establecido en el acuerdo de servicio.</t>
        </r>
      </text>
    </comment>
    <comment ref="F117" authorId="1" shapeId="0" xr:uid="{00000000-0006-0000-0000-00001E010000}">
      <text>
        <r>
          <rPr>
            <b/>
            <sz val="9"/>
            <color indexed="81"/>
            <rFont val="Tahoma"/>
            <family val="2"/>
          </rPr>
          <t>Gloria A. Sanchez M.:</t>
        </r>
        <r>
          <rPr>
            <sz val="9"/>
            <color indexed="81"/>
            <rFont val="Tahoma"/>
            <family val="2"/>
          </rPr>
          <t xml:space="preserve">
FEBRERO: Se superó la meta nacional del 80%, se recibió y gestionó 5 expedientes para consulta y préstamo de las oficinas de Administración de Personal y Registro y Control. Las cuales fueron atendidas dentro del tiempo establecido en el acuerdo de servicio.
</t>
        </r>
      </text>
    </comment>
    <comment ref="G117" authorId="1" shapeId="0" xr:uid="{00000000-0006-0000-0000-00001F010000}">
      <text>
        <r>
          <rPr>
            <b/>
            <sz val="9"/>
            <color indexed="81"/>
            <rFont val="Tahoma"/>
            <family val="2"/>
          </rPr>
          <t>Gloria A. Sanchez M.:</t>
        </r>
        <r>
          <rPr>
            <sz val="9"/>
            <color indexed="81"/>
            <rFont val="Tahoma"/>
            <family val="2"/>
          </rPr>
          <t xml:space="preserve">
MARZO: Se superó la meta nacional del 80%, se recibió y gestionó 19 expedientes para consulta y préstamo de las oficinas de Administración de Personal, Registro y Control, CEIDEUL y Secretaria Académica Decanatura de Derecho. Las cuales fueron atendidas dentro del tiempo establecido en el acuerdo de servicio.</t>
        </r>
      </text>
    </comment>
    <comment ref="H117" authorId="1" shapeId="0" xr:uid="{00000000-0006-0000-0000-000020010000}">
      <text>
        <r>
          <rPr>
            <b/>
            <sz val="9"/>
            <color indexed="81"/>
            <rFont val="Tahoma"/>
            <family val="2"/>
          </rPr>
          <t>Gloria A. Sanchez M.:</t>
        </r>
        <r>
          <rPr>
            <sz val="9"/>
            <color indexed="81"/>
            <rFont val="Tahoma"/>
            <family val="2"/>
          </rPr>
          <t xml:space="preserve">
ABRIL: Se superó la meta nacional del 80%, se recibió y gestionó 12 expedientes para consulta y préstamo de las oficinas de Jurídica, Administración de Personal, Registro y Control, CEIDEUL y Secretaria Académica Decanatura de Derecho. Las cuales fueron atendidas dentro del tiempo establecido en el acuerdo de servicio.</t>
        </r>
      </text>
    </comment>
    <comment ref="I117" authorId="1" shapeId="0" xr:uid="{00000000-0006-0000-0000-000021010000}">
      <text>
        <r>
          <rPr>
            <b/>
            <sz val="9"/>
            <color indexed="81"/>
            <rFont val="Tahoma"/>
            <family val="2"/>
          </rPr>
          <t>Gloria A. Sanchez M.:</t>
        </r>
        <r>
          <rPr>
            <sz val="9"/>
            <color indexed="81"/>
            <rFont val="Tahoma"/>
            <family val="2"/>
          </rPr>
          <t xml:space="preserve">
MAYO: Se superó la meta nacional del 80%, se recibió y gestionó 11 expedientes para consulta y préstamo de las oficinas de Administración de Personal, Registro y Control, y CEIDEUL. Las cuales fueron atendidas dentro del tiempo establecido en el acuerdo de servicio.</t>
        </r>
      </text>
    </comment>
    <comment ref="J117" authorId="1" shapeId="0" xr:uid="{00000000-0006-0000-0000-000022010000}">
      <text>
        <r>
          <rPr>
            <b/>
            <sz val="9"/>
            <color indexed="81"/>
            <rFont val="Tahoma"/>
            <family val="2"/>
          </rPr>
          <t>Gloria A. Sanchez M.:</t>
        </r>
        <r>
          <rPr>
            <sz val="9"/>
            <color indexed="81"/>
            <rFont val="Tahoma"/>
            <family val="2"/>
          </rPr>
          <t xml:space="preserve">
JUNIO: Se superó la meta nacional del 80%, se recibió y gestionó 17 expedientes para consulta y préstamo de las oficinas de Administración de Personal, Registro y Control, Secretaria Seccional y CEIDEUL. Las cuales fueron atendidas dentro del tiempo establecido en el acuerdo de servicio.</t>
        </r>
      </text>
    </comment>
    <comment ref="K117" authorId="1" shapeId="0" xr:uid="{00000000-0006-0000-0000-000023010000}">
      <text>
        <r>
          <rPr>
            <b/>
            <sz val="9"/>
            <color indexed="81"/>
            <rFont val="Tahoma"/>
            <family val="2"/>
          </rPr>
          <t>Gloria A. Sanchez M.:</t>
        </r>
        <r>
          <rPr>
            <sz val="9"/>
            <color indexed="81"/>
            <rFont val="Tahoma"/>
            <family val="2"/>
          </rPr>
          <t xml:space="preserve">
JULIO: Se superó la meta nacional del 80%, se recibió y gestionó 15 expedientes para consulta y préstamo de las oficinas de Gestión Humana, Registro y Control, Secretaria Seccional, Censoria, Decanatura de Derecho y Tesorería. Las cuales fueron atendidas dentro del tiempo establecido en el acuerdo de servicio.</t>
        </r>
      </text>
    </comment>
    <comment ref="L117" authorId="1" shapeId="0" xr:uid="{00000000-0006-0000-0000-000024010000}">
      <text>
        <r>
          <rPr>
            <b/>
            <sz val="9"/>
            <color indexed="81"/>
            <rFont val="Tahoma"/>
            <family val="2"/>
          </rPr>
          <t>Gloria A. Sanchez M.:</t>
        </r>
        <r>
          <rPr>
            <sz val="9"/>
            <color indexed="81"/>
            <rFont val="Tahoma"/>
            <family val="2"/>
          </rPr>
          <t xml:space="preserve">
AGOSTO: Se superó la meta nacional del 80%, se recibió y gestionó 16 expedientes para consulta y préstamo de las oficinas de Gestión Humana, Registro y Control, Secretaria Seccional, SECRETARIA ACADÉMICA - FDCPS y Sindicatura. Las cuales fueron atendidas dentro del tiempo establecido en el acuerdo de servicio.</t>
        </r>
      </text>
    </comment>
    <comment ref="M117" authorId="1" shapeId="0" xr:uid="{00000000-0006-0000-0000-000025010000}">
      <text>
        <r>
          <rPr>
            <b/>
            <sz val="9"/>
            <color indexed="81"/>
            <rFont val="Tahoma"/>
            <family val="2"/>
          </rPr>
          <t>Gloria A. Sanchez M.:</t>
        </r>
        <r>
          <rPr>
            <sz val="9"/>
            <color indexed="81"/>
            <rFont val="Tahoma"/>
            <family val="2"/>
          </rPr>
          <t xml:space="preserve">
SEPTIEMBRE: Se superó la meta nacional del 80%, se recibió y gestionó 38 expedientes para consulta y préstamo de las oficinas de Gestión Humana, Registro y Control, Secretaria Seccional, Contratos, Jurídica y Seguridad Social. Las cuales fueron atendidas dentro del tiempo establecido en el acuerdo de servicio.</t>
        </r>
      </text>
    </comment>
    <comment ref="N117" authorId="1" shapeId="0" xr:uid="{00000000-0006-0000-0000-000026010000}">
      <text>
        <r>
          <rPr>
            <b/>
            <sz val="9"/>
            <color indexed="81"/>
            <rFont val="Tahoma"/>
            <family val="2"/>
          </rPr>
          <t>Gloria A. Sanchez M.:</t>
        </r>
        <r>
          <rPr>
            <sz val="9"/>
            <color indexed="81"/>
            <rFont val="Tahoma"/>
            <family val="2"/>
          </rPr>
          <t xml:space="preserve">
OCTUBRE: Se superó la meta nacional del 80%, se recibió y gestionó 15 expedientes para consulta y préstamo de las oficinas de Gestión Humana, Registro y Control, Secretaria Seccional, Contratos, Jurídica y Seguridad Social. Las cuales fueron atendidas dentro del tiempo establecido en el acuerdo de servicio.
</t>
        </r>
      </text>
    </comment>
    <comment ref="O117" authorId="1" shapeId="0" xr:uid="{00000000-0006-0000-0000-000027010000}">
      <text>
        <r>
          <rPr>
            <b/>
            <sz val="9"/>
            <color indexed="81"/>
            <rFont val="Tahoma"/>
            <family val="2"/>
          </rPr>
          <t>Gloria A. Sanchez M.:</t>
        </r>
        <r>
          <rPr>
            <sz val="9"/>
            <color indexed="81"/>
            <rFont val="Tahoma"/>
            <family val="2"/>
          </rPr>
          <t xml:space="preserve">
NOVIEMBRE: Se superó la meta nacional del 80%, se recibió y gestionó 26 expedientes para consulta y préstamo de las oficinas de Gestión Humana, Registro y Control, Radicación de Títulos, Secretaria Seccional, Contratos, CEIDEUL y Seguridad Social. Las cuales fueron atendidas dentro del tiempo establecido en el acuerdo de servicio.</t>
        </r>
      </text>
    </comment>
    <comment ref="P117" authorId="1" shapeId="0" xr:uid="{00000000-0006-0000-0000-000028010000}">
      <text>
        <r>
          <rPr>
            <b/>
            <sz val="9"/>
            <color indexed="81"/>
            <rFont val="Tahoma"/>
            <family val="2"/>
          </rPr>
          <t>Gloria A. Sanchez M.:</t>
        </r>
        <r>
          <rPr>
            <sz val="9"/>
            <color indexed="81"/>
            <rFont val="Tahoma"/>
            <family val="2"/>
          </rPr>
          <t xml:space="preserve">
DICIEMBRE: Se superó la meta nacional del 80%, se recibió y gestionó 6 expedientes para consulta y préstamo de las oficinas de Radicación de Títulos, Secretaria Seccional, Jurídica y Tesorería. Las cuales fueron atendidas dentro del tiempo establecido en el acuerdo de servicio.</t>
        </r>
      </text>
    </comment>
    <comment ref="E119" authorId="1" shapeId="0" xr:uid="{00000000-0006-0000-0000-000029010000}">
      <text>
        <r>
          <rPr>
            <b/>
            <sz val="9"/>
            <color indexed="81"/>
            <rFont val="Tahoma"/>
            <family val="2"/>
          </rPr>
          <t>Gloria A. Sanchez M.:</t>
        </r>
        <r>
          <rPr>
            <sz val="9"/>
            <color indexed="81"/>
            <rFont val="Tahoma"/>
            <family val="2"/>
          </rPr>
          <t xml:space="preserve">
2022-1:  Se cumple la meta del 100%. De un total 329 documentos recibidos, el 100% fueron entregados dentro de los tiempos establecidos en el acuerdo de servicio. 5 de ellos fueron entregados solo en forma digital equivalente al 1,52 % obedeció a que no fue posible la entrega de la documentación de forma física, debido a las siguientes situaciones: La oficina se encontraba cerrada, las secretarias o encargados estaban de permiso o en incapacidad, entre otras.
Es de aclarar, que los 329 documentos recibidos fueron notificados en su totalidad a los destinatarios de la correspondencia de forma digitalizada al correo electrónico el mismo día de la recepción de los documentos, esto con el fin de optimizar y agilizar el trámite en la oficina. Ya que cumplido con el registro y radicación de los documentos, se distribuida con el mensajero interno para su correspondiente entrega.
</t>
        </r>
      </text>
    </comment>
    <comment ref="K119" authorId="1" shapeId="0" xr:uid="{00000000-0006-0000-0000-00002A010000}">
      <text>
        <r>
          <rPr>
            <sz val="9"/>
            <color indexed="81"/>
            <rFont val="Tahoma"/>
            <family val="2"/>
          </rPr>
          <t>Se cumple la meta del 100%. De un total 340 documentos recibidos, el 100% fueron entregados dentro de los tiempos establecidos en el acuerdo de servicio. 4 de ellos fueron entregados solo en forma digital equivalente al 1,18 %, ya que no fue posible la entrega de la documentación de forma física, debido a las siguientes situaciones: La oficina se encontraba cerrada, las secretarias o encargados estaban de permiso o en incapacidad, entre otras.
Es de aclarar, que los 340 documentos recibidos fueron notificados en su totalidad a los destinatarios de la correspondencia de forma digitalizada al correo electrónico institucional el mismo día de la recepción de los documentos, esto con el fin de optimizar y agilizar el trámite en la oficina. Ya que cumplido con el registro y radicación de los documentos, se distribuida con el mensajero interno para su correspondiente entrega.</t>
        </r>
      </text>
    </comment>
    <comment ref="D120" authorId="0" shapeId="0" xr:uid="{00000000-0006-0000-0000-00002B010000}">
      <text>
        <r>
          <rPr>
            <b/>
            <sz val="9"/>
            <color indexed="81"/>
            <rFont val="Tahoma"/>
            <family val="2"/>
          </rPr>
          <t>Gloria Amparo Sanchez:</t>
        </r>
        <r>
          <rPr>
            <sz val="9"/>
            <color indexed="81"/>
            <rFont val="Tahoma"/>
            <family val="2"/>
          </rPr>
          <t xml:space="preserve">
Rango Bueno:70% - 60 %</t>
        </r>
      </text>
    </comment>
    <comment ref="E120" authorId="1" shapeId="0" xr:uid="{00000000-0006-0000-0000-00002C010000}">
      <text>
        <r>
          <rPr>
            <b/>
            <sz val="9"/>
            <color indexed="81"/>
            <rFont val="Tahoma"/>
            <family val="2"/>
          </rPr>
          <t>Gloria A. Sanchez M.:</t>
        </r>
        <r>
          <rPr>
            <sz val="9"/>
            <color indexed="81"/>
            <rFont val="Tahoma"/>
            <family val="2"/>
          </rPr>
          <t xml:space="preserve">
Facultad de Ciencias de la Salud, Exactas y Naturales: Se supera la meta estándar nacional , ya que en la Facultad se obtuvo un resultado del 83,67%. De los 49 docentes adscritos a la facultad, 41 cuentan con maestría o doctorado.
Es importante señalar que en los programas de enfermería y Microbiología, el 100% de los docentes del componente profesional cuentan con formación avanzada. En cuanto a Nutrición y Dietética por tratarse de un programa joven, el porcentaje de docentes del componente profesional es del 57%, situación que se irá subsanando en la medida en que terminen sus estudios de posgrado.
Distribución del nivel de formación por centro de costos:
Nutrición y Dietética: 3 doctores y 7 magísteres
Enfermería: 3 doctores y 15 magísteres
Microbiología: 4 doctores y 9 magísteres
Vale la pena aclarar que el número de docentes registrados por centro de costos difiere del número real de docentes que dictan asignaturas en la Facultad (Docentes: 52 - con títulos de: Doctor: 11 y Magíster: 32)
Por programas la situación es así:
Nutrición y Dietética: 5 doctores y 11 magísteres
Enfermería: 6 doctores y 16 magísteres
Microbiología: 8 doctores y 14 magísteres
En la Facultad en proceso de formación doctoral, se cuenta con 6 docentes con formación doctoral</t>
        </r>
      </text>
    </comment>
    <comment ref="K120" authorId="1" shapeId="0" xr:uid="{00000000-0006-0000-0000-00002D010000}">
      <text>
        <r>
          <rPr>
            <b/>
            <sz val="9"/>
            <color indexed="81"/>
            <rFont val="Tahoma"/>
            <family val="2"/>
          </rPr>
          <t>Gloria A. Sanchez M.:</t>
        </r>
        <r>
          <rPr>
            <sz val="9"/>
            <color indexed="81"/>
            <rFont val="Tahoma"/>
            <family val="2"/>
          </rPr>
          <t xml:space="preserve">
La facultad cuenta con 54 docentes de los cuales 46, el 85,19% tienen formación avanzada, bien sea en doctorado con el 22,22% como en maestría con el 62,96%.
Por programas tenemos la siguiente composición de los docentes:
ENFERMERÍA: 26 docentes, de los cuales 6, el 23,08 son doctores, 18, el 69,2% magísteres, y los 2 restantes, especialistas.
MICROBIOLOGÍA: 25 docentes, de los cuales 9, el 36% tienen formación doctoral; 14, el 56% maestría, 1, el 4% son especialistas y 1, el 4% restante, pregrado.
NUTRICIÓN Y DIETÉTICA: 24 docentes, de los cuales 6, el 25% son doctores, 12, el 48% tienen formación en Maestría, 4, el 16,67% son especialistas y 2, el 8,33% pregrado.
Como puede observarse, la meta se cumple ampliamente.
Vale la pena anotar que varios docentes realizan actividades de aula en todos los programas de la facultad.</t>
        </r>
      </text>
    </comment>
    <comment ref="E121" authorId="1" shapeId="0" xr:uid="{00000000-0006-0000-0000-00002E010000}">
      <text>
        <r>
          <rPr>
            <b/>
            <sz val="9"/>
            <color indexed="81"/>
            <rFont val="Tahoma"/>
            <family val="2"/>
          </rPr>
          <t>Gloria A. Sanchez M.:</t>
        </r>
        <r>
          <rPr>
            <sz val="9"/>
            <color indexed="81"/>
            <rFont val="Tahoma"/>
            <family val="2"/>
          </rPr>
          <t xml:space="preserve">
La Facultad de Ciencias Económicas, Administrativas y Contables cuenta con 38 docentes por centro de costos, de los cuales 6 tienen doctorado, 24 cuentan con formación en maestría, 7 son especialistas y uno con pregrado, cumpliéndose la meta estandar nacional con un resultado del 78.95, distribuidos por programa así:
Economía: 10 docentes (3 doctores, 6 magister y un especialista).
Contaduría Pública: 16 docentes (14 con maestría y 2 con especialización)
Administración de Empresas: 12 docentes ( 3 doctores, 4 magister, 4 especialistas y un pregrado)</t>
        </r>
      </text>
    </comment>
    <comment ref="K121" authorId="1" shapeId="0" xr:uid="{00000000-0006-0000-0000-00002F010000}">
      <text>
        <r>
          <rPr>
            <b/>
            <sz val="9"/>
            <color indexed="81"/>
            <rFont val="Tahoma"/>
            <family val="2"/>
          </rPr>
          <t>Gloria A. Sanchez M.:</t>
        </r>
        <r>
          <rPr>
            <sz val="9"/>
            <color indexed="81"/>
            <rFont val="Tahoma"/>
            <family val="2"/>
          </rPr>
          <t xml:space="preserve">
La Facultad de Ciencias Económicas, Administrativas y Contables para el segundo semestre de 2022, cuenta con los mismos 38 docentes por centro de costos del primer semestre del año, de los cuales 5 tienen doctorado (Un docente doctor no continúa con la Universidad), 24 cuentan con formación en maestría, 7 son especialistas y uno con pregrado, cumpliéndose la meta estándar nacional con un resultado del 76.32, distribuidos por programa así:
Economía: 10 docentes (3 doctores, 6 magister y un especialista).
Contaduría Pública: 16 docentes (14 con maestría y 2 con especialización)
Administración de Empresas: 12 docentes ( 3 doctores, 4 magister, 4 especialistas y un pregrado)</t>
        </r>
      </text>
    </comment>
    <comment ref="E122" authorId="1" shapeId="0" xr:uid="{00000000-0006-0000-0000-000030010000}">
      <text>
        <r>
          <rPr>
            <b/>
            <sz val="9"/>
            <color indexed="81"/>
            <rFont val="Tahoma"/>
            <family val="2"/>
          </rPr>
          <t>Gloria A. Sanchez M.:</t>
        </r>
        <r>
          <rPr>
            <sz val="9"/>
            <color indexed="81"/>
            <rFont val="Tahoma"/>
            <family val="2"/>
          </rPr>
          <t xml:space="preserve">
FACULTAD DE DERECHO, CIENCIAS POLÍTICAS Y SOCIALES
En la facultad, se presenta un total de 100 docentes vinculados, se tienen 68 magísteres, 4 Doctores, 27 especialistas y 1 con título de pregrado, obteniéndose un resultado del 72%.
Programa de Trabajo Social
Total de Docentes: 14
Magíster: 14
Programa de Derecho (Semestral y Anualizado)
Pregrado: 1
Especialistas: 27
Megister: 55
Doctores: 4</t>
        </r>
      </text>
    </comment>
    <comment ref="K122" authorId="1" shapeId="0" xr:uid="{00000000-0006-0000-0000-000031010000}">
      <text>
        <r>
          <rPr>
            <b/>
            <sz val="9"/>
            <color indexed="81"/>
            <rFont val="Tahoma"/>
            <family val="2"/>
          </rPr>
          <t>Gloria A. Sanchez M.:</t>
        </r>
        <r>
          <rPr>
            <sz val="9"/>
            <color indexed="81"/>
            <rFont val="Tahoma"/>
            <family val="2"/>
          </rPr>
          <t xml:space="preserve">
En la facultad, se presenta un total de 100 docentes vinculados, se tienen 67 magísteres, 5 Doctores, 27 especialistas y 1 con título de pregrado, obteniéndose un resultado del 72%.
Programa de Trabajo Social
Total de Docentes: 14
Magíster: 13
Doctora: 1
Programa de Derecho (Semestral y Anualizado)
Pregrado: 1
Especialistas: 27
Megister: 55
Doctores: 4</t>
        </r>
      </text>
    </comment>
    <comment ref="E123" authorId="1" shapeId="0" xr:uid="{00000000-0006-0000-0000-000032010000}">
      <text>
        <r>
          <rPr>
            <b/>
            <sz val="9"/>
            <color indexed="81"/>
            <rFont val="Tahoma"/>
            <family val="2"/>
          </rPr>
          <t>Gloria A. Sanchez M.:</t>
        </r>
        <r>
          <rPr>
            <sz val="9"/>
            <color indexed="81"/>
            <rFont val="Tahoma"/>
            <family val="2"/>
          </rPr>
          <t xml:space="preserve">
Facultad de Ingenierías: Se tiene la misma información del 2022-1:
Se cumple la meta estándar nacional , en la Facultad de ingenierías se obtuvo un resultado del 78,69%. De un total de 61 docentes adscritos a la Facultad, por centro de costos, se tienen 38 docentes con formación en maestría, equivalente al 62,30%, seguido del nivel de formación de especialización con el 21,3% (13 docentes) y el 16,39% cuenta con nivel de formación de doctorado (10 docentes).
Discriminados por programa así:
Ing. Civil: Total docentes: 41 - 7 con doctorado - 22 con maestría y 12 con especialización.
Ing. Comercial: Total docentes: 10 - 1 con doctorado, 8 con maestría y 1 con especialización.
Ing. Sistemas: Total docentes: 6 - 2 con doctorado - 4 con maestría
Ing. Financiera: Total docentes: 4 - 4 con maestría</t>
        </r>
      </text>
    </comment>
    <comment ref="K123" authorId="1" shapeId="0" xr:uid="{00000000-0006-0000-0000-000033010000}">
      <text>
        <r>
          <rPr>
            <b/>
            <sz val="9"/>
            <color indexed="81"/>
            <rFont val="Tahoma"/>
            <family val="2"/>
          </rPr>
          <t>Gloria A. Sanchez M.:</t>
        </r>
        <r>
          <rPr>
            <sz val="9"/>
            <color indexed="81"/>
            <rFont val="Tahoma"/>
            <family val="2"/>
          </rPr>
          <t xml:space="preserve">
Facultad de Ingenierías: Se cumple la meta estándar nacional , en la Facultad de ingenierías se obtuvo un resultado del 77,97%. De un total de 59 docentes adscritos a la Facultad, por centro de costos, se tienen 37 docentes con formación en maestría, equivalente al 62,71%, seguido del nivel de formación de especialización con el 22.03% (13 docentes) y el 15,25% cuenta con nivel de formación de doctorado (9 docentes).
Discriminados por programa así:
Ing. Civil: Total docentes: 40 - 6 con doctorado - 22 con maestría y 12 con especialización.
Ing. Comercial: Total docentes: 10 - 1 con doctorado, 8 con maestría y 1 con especialización.
Ing. Sistemas: Total docentes: 6 - 2 con doctorado - 4 con maestría
Ing. Financiera: Total docentes: 4 - 4 con maestría</t>
        </r>
      </text>
    </comment>
    <comment ref="D124" authorId="0" shapeId="0" xr:uid="{00000000-0006-0000-0000-000034010000}">
      <text>
        <r>
          <rPr>
            <b/>
            <sz val="9"/>
            <color indexed="81"/>
            <rFont val="Tahoma"/>
            <family val="2"/>
          </rPr>
          <t>Gloria Amparo Sanchez:</t>
        </r>
        <r>
          <rPr>
            <sz val="9"/>
            <color indexed="81"/>
            <rFont val="Tahoma"/>
            <family val="2"/>
          </rPr>
          <t xml:space="preserve">
Rango Bueno: 100% - 80%</t>
        </r>
      </text>
    </comment>
    <comment ref="E124" authorId="1" shapeId="0" xr:uid="{00000000-0006-0000-0000-000035010000}">
      <text>
        <r>
          <rPr>
            <b/>
            <sz val="9"/>
            <color indexed="81"/>
            <rFont val="Tahoma"/>
            <family val="2"/>
          </rPr>
          <t>Gloria A. Sanchez M.:</t>
        </r>
        <r>
          <rPr>
            <sz val="9"/>
            <color indexed="81"/>
            <rFont val="Tahoma"/>
            <family val="2"/>
          </rPr>
          <t xml:space="preserve">
2022: Durante el año 2022, no se radicaron documentos para acreditación en la seccional, pero de acuerdo a las radicaciones realizadas durante las vigencias anteriores, se recibió visita de pares amigos y pares externos del CNA, para los siguientes programas:
1. Enfermería
2. Ingeniería comercial
3. Ingeniería civil
Estamos a la espera de la resolución de los tres programas antes mencionados y Economía</t>
        </r>
      </text>
    </comment>
    <comment ref="D125" authorId="0" shapeId="0" xr:uid="{00000000-0006-0000-0000-000036010000}">
      <text>
        <r>
          <rPr>
            <b/>
            <sz val="9"/>
            <color indexed="81"/>
            <rFont val="Tahoma"/>
            <family val="2"/>
          </rPr>
          <t>Gloria Amparo Sanchez:</t>
        </r>
        <r>
          <rPr>
            <sz val="9"/>
            <color indexed="81"/>
            <rFont val="Tahoma"/>
            <family val="2"/>
          </rPr>
          <t xml:space="preserve">
Rango Bueno: 100% - 90%</t>
        </r>
      </text>
    </comment>
    <comment ref="E125" authorId="1" shapeId="0" xr:uid="{00000000-0006-0000-0000-000037010000}">
      <text>
        <r>
          <rPr>
            <b/>
            <sz val="9"/>
            <color indexed="81"/>
            <rFont val="Tahoma"/>
            <family val="2"/>
          </rPr>
          <t>Gloria A. Sanchez M.:</t>
        </r>
        <r>
          <rPr>
            <sz val="9"/>
            <color indexed="81"/>
            <rFont val="Tahoma"/>
            <family val="2"/>
          </rPr>
          <t xml:space="preserve">
Año 2022: Se cumplió la meta estándar nacional, obteniendo un resultado en la seccional del 100%, de un total de 6 programas proyectados para renovación de registro calificad, todos fueron radicados en la plataforma SACES (Especializaciones en: Responsabilidad Médica, Derecho de Daños y responsabilidad pública y privada, Derecho procesal probatorio y oralidad, Derecho del trabajo, pensiones y riesgos laborales, Maestría en Derecho Constitucional y pregrado en Administración). Otros 8 programas académicos a los que se les hizo acompañamiento fueron (Maestría en Seguridad y salud en el trabajo, Pregrados en: Contaduría Pública, Ingenierías: Comercial, Financiera, Sistemas, Civil, Nutrición y Dietética y Microbiología) Programas a los cuales se les hizo acompañamiento por parte de Aseguramiento de la calidad académica y la Oficina de Planeación, se muestran a continuación:
Facultad de Ciencias de la Salud, exactas y naturales:
1. Maestría en gestión de la seguridad y salud en el trabajo: Se apoyó para completitud Pendiente de resolución MEN
1. Pregrado en Nutrición y Dietética: Listo para radicar el documento maestro en Febrero de 2023
2. Pregrado en Microbiología: Listo para entrega a Planeación Nacional el 11 de marzo de 2023
Facultad de Derecho Ciencias Políticas y Sociales:
3. Especialización en Responsabilidad Médica: Se obtuvo la Resolución de 1ª. renovación de registro calificado (Resolución de Aprobación 006496 del 25 abril de 2022)
4. Especialización en Derecho de Daños y responsabilidad pública y privada: Pendiente de resolución MEN
5. Especialización en derecho procesal probatorio y oralidad: Pendiente de resolución MEN
6. Especialización en derecho del trabajo, pensiones y riesgos laborales: Pendiente de resolución MEN
7. Maestría en Derecho Constitucional: Pendiente de resolución MEN
Facultad de Ciencias Económicas, Administrativas y Contables
8. Pregrado en Contaduría Pública: Se obtuvo la Resolución de Aprobación de 2ª. renovación de Registro Calificado No. 014395 de julio 22 de 2022
9. Pregrado en Administración de Empresas: Pendiente de resolución MEN
Facultad de Ingenierías: Con Resoluciones de aprobación del MEN para modificación a 8 semestres:
10. Pregrado en Ingeniería comercial: Resolución No. 004697 del 01 de abril de 2022
11. Pregrado en Ingeniería Financiera: Resolución No. 004695 del 1 abril de 2022
12. Pregrado en Ingeniería Civil: Resolución No. 007758 del 06 de mayo de 2022
13. Pregrado en Ingeniería de Sistemas: Resolución No. 000713 25 enero 2022), Por la cual se corrige la Resolución 023732 de 10 de diciembre de 2021
Se realizó seguimiento al cumplimiento de los momentos 1 y 2 de autoevaluación, en razón de establecer las fechas precisas de cada fase y procedimiento durante la vigencia del Registro Calificado.</t>
        </r>
      </text>
    </comment>
    <comment ref="D126" authorId="0" shapeId="0" xr:uid="{00000000-0006-0000-0000-000038010000}">
      <text>
        <r>
          <rPr>
            <b/>
            <sz val="9"/>
            <color indexed="81"/>
            <rFont val="Tahoma"/>
            <family val="2"/>
          </rPr>
          <t>Gloria Amparo Sanchez:</t>
        </r>
        <r>
          <rPr>
            <sz val="9"/>
            <color indexed="81"/>
            <rFont val="Tahoma"/>
            <family val="2"/>
          </rPr>
          <t xml:space="preserve">
Rango Bueno: 5 - 3,5</t>
        </r>
      </text>
    </comment>
    <comment ref="E126" authorId="1" shapeId="0" xr:uid="{00000000-0006-0000-0000-000039010000}">
      <text>
        <r>
          <rPr>
            <b/>
            <sz val="9"/>
            <color indexed="81"/>
            <rFont val="Tahoma"/>
            <family val="2"/>
          </rPr>
          <t>Gloria A. Sanchez M.:</t>
        </r>
        <r>
          <rPr>
            <sz val="9"/>
            <color indexed="81"/>
            <rFont val="Tahoma"/>
            <family val="2"/>
          </rPr>
          <t xml:space="preserve">
Se cumplió con la meta estándar del indicador, donde la evaluación de los docentes de la Facultad, arrojó un promedio de 4.66 en el primer semestre 2022-1 se aplicó a 53 docentes y los valores estuvieron entre 4.0 y 4.94. Por programa académico los promedios fueron así:
Nutrición y dietética, 4,61; Microbiología, 4,66 y Enfermería, 4,71. Los resultados obtenidos hablan del compromiso y responsabilidad de los docentes en su actividad laboral. El 88% de los estudiantes realizaron la evaluación, superando el 70% que exige la norma.</t>
        </r>
      </text>
    </comment>
    <comment ref="K126" authorId="1" shapeId="0" xr:uid="{00000000-0006-0000-0000-00003A010000}">
      <text>
        <r>
          <rPr>
            <b/>
            <sz val="9"/>
            <color indexed="81"/>
            <rFont val="Tahoma"/>
            <family val="2"/>
          </rPr>
          <t>Gloria A. Sanchez M.:</t>
        </r>
        <r>
          <rPr>
            <sz val="9"/>
            <color indexed="81"/>
            <rFont val="Tahoma"/>
            <family val="2"/>
          </rPr>
          <t xml:space="preserve">
Para el presente período se cumplió con la meta estándar del indicador, ya que el promedio general de la facultad fue de 4,72. La evaluación se aplicó a 53 docentes, 38 de planta y 16 catedráticos.
En cuanto a la evaluación por programa académico, el promedio obtenido para el programa de Enfermería fue de 4,74, con una nota mínima de 3,15 y una máxima de 4,98. Para el caso del docente con la más baja calificación, se notificó y se realizó una actividad de mejoramiento.
El programa de Microbiología muestra un promedio de 4,75, con una nota mínima de 4,31 y una máxima de 4,95.
El programa de Nutrición y Dietética obtuvo un promedio de 4,67, con una mínima de 3,78 y una máxima de 4,95.
En términos generales la facultad muestra una calificación que da fe del compromiso, didáctica y responsabilidad.
</t>
        </r>
      </text>
    </comment>
    <comment ref="E127" authorId="1" shapeId="0" xr:uid="{00000000-0006-0000-0000-00003B010000}">
      <text>
        <r>
          <rPr>
            <b/>
            <sz val="9"/>
            <color indexed="81"/>
            <rFont val="Tahoma"/>
            <family val="2"/>
          </rPr>
          <t>Gloria A. Sanchez M.:</t>
        </r>
        <r>
          <rPr>
            <sz val="9"/>
            <color indexed="81"/>
            <rFont val="Tahoma"/>
            <family val="2"/>
          </rPr>
          <t xml:space="preserve">
Para el período académico 2022-1 la Facultad obtuvo un resultado promedio de 4.61, cumpliendo con la meta estandar nacional, distribuida la evaluación por programa así:
Economía: 4.58
Contaduría Pública :4.72
Administración de Empresas: 4.52
Con base en los anteriores resultados, a tres docentes se les informó acerca de su evaluación y las observaciones realizadas por los estudiantes, donde a dos de ellos se les esta formulando un plan de acción de mejora para su ejecución durante el segundo semestre académico de 2022 y a ltercer docente no se le renovó su contrato de trabajo.</t>
        </r>
      </text>
    </comment>
    <comment ref="K127" authorId="1" shapeId="0" xr:uid="{00000000-0006-0000-0000-00003C010000}">
      <text>
        <r>
          <rPr>
            <b/>
            <sz val="9"/>
            <color indexed="81"/>
            <rFont val="Tahoma"/>
            <family val="2"/>
          </rPr>
          <t>Gloria A. Sanchez M.:</t>
        </r>
        <r>
          <rPr>
            <sz val="9"/>
            <color indexed="81"/>
            <rFont val="Tahoma"/>
            <family val="2"/>
          </rPr>
          <t xml:space="preserve">
Se puede observar que para ambos periodos se ha cumplido con la meta estándar nacional, tanto para la Facultad en su conjunto como para cada uno de los programas reflejada en la tendencia creciente de sus resultados como acciones de mejora. De manera más específica, el programa de Contaduría Pública presenta una ligera tendencia a la baja en sus resultados sin que este alejada del promedio de la Facultad y dentro del estándar nacional de la universidad.
El docente identificado con cédula de ciudadanía número 10.283.129 esta desvinculado de la Universidad desde julio 1º de 2022
La docente identificada con la cédula de ciudadanía número 42.060.692, para el 2022-2 se presenta la necesidad de implementar y desarrollar el plan de mejora académico soportado en los siguientes aspectos:
.- Revisión del proceso de fusión de la asignatura de presupuesto, para la orientación de los enfoques en Contaduría Pública y Administración de Empresas
.- Replantear los conceptos y prácticas metodológicas para el desarrollo de las asignaturas. ,.
.- Revisar y reorientar el proceso de evaluación a los estudiantes
.- Realizar proceso de capacitación a través de la Escuela de Formación Docente</t>
        </r>
      </text>
    </comment>
    <comment ref="E128" authorId="1" shapeId="0" xr:uid="{00000000-0006-0000-0000-00003D010000}">
      <text>
        <r>
          <rPr>
            <b/>
            <sz val="9"/>
            <color indexed="81"/>
            <rFont val="Tahoma"/>
            <family val="2"/>
          </rPr>
          <t>Gloria A. Sanchez M.:</t>
        </r>
        <r>
          <rPr>
            <sz val="9"/>
            <color indexed="81"/>
            <rFont val="Tahoma"/>
            <family val="2"/>
          </rPr>
          <t xml:space="preserve">
El programa de Derecho semestralizado para el período 2022-1, evaluó 5 docentes que cumpliero con el 70% de la evaluación estudiantil de un total de 37 asignados al programa de Derecho Semestral, con un promedio de 4.58.
Es importante aclarar que para el programa anualizado, se realizará en el mes de Octubre de 2022.
Con el ánimo de lograr mayor participación de los estudiantes en la evaluación docente, se están realizando acciones para promocionar la importancia del proceso.
</t>
        </r>
      </text>
    </comment>
    <comment ref="K128" authorId="1" shapeId="0" xr:uid="{00000000-0006-0000-0000-00003E010000}">
      <text>
        <r>
          <rPr>
            <b/>
            <sz val="9"/>
            <color indexed="81"/>
            <rFont val="Tahoma"/>
            <family val="2"/>
          </rPr>
          <t>Gloria A. Sanchez M.:</t>
        </r>
        <r>
          <rPr>
            <sz val="9"/>
            <color indexed="81"/>
            <rFont val="Tahoma"/>
            <family val="2"/>
          </rPr>
          <t xml:space="preserve">
El programa de Derecho semestralizado para el período 2022-2, obtuvo un resultado de evaluación docente 4.95 correspondiente a una docente, ya que no fue posible llgar al 70% de evaluación estudiantil en los 49 docentes objeto de evaluación para este período.
Es importante anotar que la baja participación de los estudiantes obedece a la falta de credibilidad en el proceso de evaluación, como oportunidad de mejora se han venido desarrollando estrategias de concientización, promoción de la evaluación docente con los representantes de grupo y líderes estudiantiles, con el fin de lograr que los estudiantes realicen el proceso de evaluación en su integralidad, para lograr que los estudiantes tengan claro la importancia de evaluar a sus docentes.
El programa de Trabajo Social, obtuvo un resultado de evaluación docente de 4.45 correspondiente a 20 docentes de un total de 21 docentes objeto de evaluación.
Es importante informar que las observaciones realizadas por los estudiantes en su evaluación de cada uno de los programas se les envía como retroalimentación y mejora de proceso.
NOTA: los docentes evaluados se toman como centro de costos de cada uno de los programas.
</t>
        </r>
      </text>
    </comment>
    <comment ref="E129" authorId="1" shapeId="0" xr:uid="{00000000-0006-0000-0000-00003F010000}">
      <text>
        <r>
          <rPr>
            <b/>
            <sz val="9"/>
            <color indexed="81"/>
            <rFont val="Tahoma"/>
            <family val="2"/>
          </rPr>
          <t>Gloria A. Sanchez M.:</t>
        </r>
        <r>
          <rPr>
            <sz val="9"/>
            <color indexed="81"/>
            <rFont val="Tahoma"/>
            <family val="2"/>
          </rPr>
          <t xml:space="preserve">
2022-1: Durante el primer semestre en la Facultad se cumplió la meta nacional de 4,5, obteniéndose un resultado del 4,61. de un total de 61 docentes evaluados se obtuvieron los siguientes resultados: 72.13% (44 docentes) obtuvieron la calificación de Excelente; 24.59% (15 docentes) obtuvieron la calificación de Bueno y 3,28% (2 docentes) obtuvieron la calificación de Satisfactorio. No se obtuvieron calificaciones de Regular o Muy Deficiente.
Como plan de acción el Comité de Evaluación y Selección Docente recomendó que los docentes con evaluación de Satisfactorio revisen las estrategias metodológicas.
Nota:
1.El número de docentes para cada programa varía en relación con los asignados al centro de costos, toda vez que existen varios docentes vinculados en varios programas de la Facultad
2. La evaluación docente no es posible obtenerla por programa, toda vez que el resultado se obtiene de la totalidad de estudiantes que un docente tiene en los diversos grupos asignados, es decir, con la participación de todos los programas, además de la existencia del área de Ciencias Básicas</t>
        </r>
      </text>
    </comment>
    <comment ref="K129" authorId="1" shapeId="0" xr:uid="{00000000-0006-0000-0000-000040010000}">
      <text>
        <r>
          <rPr>
            <b/>
            <sz val="9"/>
            <color indexed="81"/>
            <rFont val="Tahoma"/>
            <family val="2"/>
          </rPr>
          <t>Gloria A. Sanchez M.:</t>
        </r>
        <r>
          <rPr>
            <sz val="9"/>
            <color indexed="81"/>
            <rFont val="Tahoma"/>
            <family val="2"/>
          </rPr>
          <t xml:space="preserve">
Durante el segundo semestre en la Facultad se cumplió la meta nacional de cuatro punto cinco (4.5), obteniéndose un resultado de cuatro sesenta y uno (4,61). De un total de 61 docentes evaluados se obtuvieron los siguientes resultados: 70,49% (43 docentes) obtuvieron la calificación de Excelente; 27,86% (17 docentes) obtuvieron la calificación de Bueno y 1,63% (1 docente) obtuvieron la calificación de Regular. No se obtuvieron calificaciones de Satisfactorio o Muy deficiente; distribuida la evaluación por programa así:
Ingeniería Comercial: 4,73
Ingeniería Civil: 4,56
Ingeniería de Sistemas: 4,70
Ingeniería Financiera: 4,72
Como Plan de acción el Comité de Evaluación y Selección Docente de la Facultad recomendó que los docentes con evaluación estudiantiles por debajo de 4, calificación Satisfactoria, revisen las estrategias estrategias metodológicas. Y con relación al docente que obtuvo la Evaluación de Regular dar aplicación lo establecido en el Artículo 51. Consecuencias de la evaluación docente contemplado en el Reglamento Docente (Acuerdo Nro 06 de 2017).
Nota 1. El número de docentes para cada programa varía en relación con los asignados al centro de costo, toda vez que existen varios docentes vinculados en varios programas de la Facultad.
Nota 2. La evaluación docente no es posible obtenerla por programa toda vez que el resultado se obtiene de la totalidad de estudiantes que un docente tiene en los diversos grupos asignados, es decir, con la participación de todos los programas, además de la existencia del área de Ciencias Básicas.
</t>
        </r>
      </text>
    </comment>
    <comment ref="D130" authorId="0" shapeId="0" xr:uid="{00000000-0006-0000-0000-000041010000}">
      <text>
        <r>
          <rPr>
            <b/>
            <sz val="9"/>
            <color indexed="81"/>
            <rFont val="Tahoma"/>
            <family val="2"/>
          </rPr>
          <t>Gloria Amparo Sanchez:</t>
        </r>
        <r>
          <rPr>
            <sz val="9"/>
            <color indexed="81"/>
            <rFont val="Tahoma"/>
            <family val="2"/>
          </rPr>
          <t xml:space="preserve">
Rango Bueno: 5 - 3,5</t>
        </r>
      </text>
    </comment>
    <comment ref="E130" authorId="1" shapeId="0" xr:uid="{00000000-0006-0000-0000-000042010000}">
      <text>
        <r>
          <rPr>
            <b/>
            <sz val="9"/>
            <color indexed="81"/>
            <rFont val="Tahoma"/>
            <family val="2"/>
          </rPr>
          <t>Gloria A. Sanchez M.:</t>
        </r>
        <r>
          <rPr>
            <sz val="9"/>
            <color indexed="81"/>
            <rFont val="Tahoma"/>
            <family val="2"/>
          </rPr>
          <t xml:space="preserve">
En la Facultad de Ciencias de la Salud, Exactas y Naturales se programaron 11328 horas en aula, de las cuales se cumplió el 100%. Es importante anotar que la presencialidad después de casi dos años de trabajo virtual se constituyó en un elemento muy importante de relacionamiento e incremento del sentido de pertenencia a la institución.
Además las actividades de práctica formativa y profesional extrainstitucional se cumplió a cabalidad.</t>
        </r>
      </text>
    </comment>
    <comment ref="K130" authorId="1" shapeId="0" xr:uid="{00000000-0006-0000-0000-000043010000}">
      <text>
        <r>
          <rPr>
            <b/>
            <sz val="9"/>
            <color indexed="81"/>
            <rFont val="Tahoma"/>
            <family val="2"/>
          </rPr>
          <t>Gloria A. Sanchez M.:</t>
        </r>
        <r>
          <rPr>
            <sz val="9"/>
            <color indexed="81"/>
            <rFont val="Tahoma"/>
            <family val="2"/>
          </rPr>
          <t xml:space="preserve">
La facultad de Ciencias de la salud, exactas y naturales cumplió durante el segundo semestre de 2022 con el 100% de clases programadas, tanto en lo que se refiere a horas teóricas, como de laboratorio y práctica de cada uno de los programas, Así:
Enfermería: 6292 horas
Microbiología: 4064 horas
Nutrición y dietética: 4300 horas</t>
        </r>
      </text>
    </comment>
    <comment ref="E131" authorId="1" shapeId="0" xr:uid="{00000000-0006-0000-0000-000044010000}">
      <text>
        <r>
          <rPr>
            <b/>
            <sz val="9"/>
            <color indexed="81"/>
            <rFont val="Tahoma"/>
            <family val="2"/>
          </rPr>
          <t>Gloria A. Sanchez M.:</t>
        </r>
        <r>
          <rPr>
            <sz val="9"/>
            <color indexed="81"/>
            <rFont val="Tahoma"/>
            <family val="2"/>
          </rPr>
          <t xml:space="preserve">
En la Facultad de Ciencias Económicas, administrativas y Contables :
Se cumple la meta nacional del 100% con 8576 horas de clases presenciales en el semestre programadas y ejecutadas (536 horas presenciales semanales por 16 semanas )
Como novedad se presentaron dos horas no dictadas en el horario establecido para el docente, las cuales fueron recuperadas.</t>
        </r>
      </text>
    </comment>
    <comment ref="K131" authorId="1" shapeId="0" xr:uid="{00000000-0006-0000-0000-000045010000}">
      <text>
        <r>
          <rPr>
            <b/>
            <sz val="9"/>
            <color indexed="81"/>
            <rFont val="Tahoma"/>
            <family val="2"/>
          </rPr>
          <t>Gloria A. Sanchez M.:</t>
        </r>
        <r>
          <rPr>
            <sz val="9"/>
            <color indexed="81"/>
            <rFont val="Tahoma"/>
            <family val="2"/>
          </rPr>
          <t xml:space="preserve">
En la Facultad de Ciencias Económicas, administrativas y Contables :
Se cumple la meta nacional del 100% con 8576 horas de clases presenciales en el semestre programadas y ejecutadas (536 horas presenciales semanales por 16 semanas )
Como novedad se presentaron dos horas no dictadas en el horario establecido para el docente, las cuales fueron recuperadas.</t>
        </r>
      </text>
    </comment>
    <comment ref="E132" authorId="1" shapeId="0" xr:uid="{00000000-0006-0000-0000-000046010000}">
      <text>
        <r>
          <rPr>
            <b/>
            <sz val="9"/>
            <color indexed="81"/>
            <rFont val="Tahoma"/>
            <family val="2"/>
          </rPr>
          <t>Gloria A. Sanchez M.:</t>
        </r>
        <r>
          <rPr>
            <sz val="9"/>
            <color indexed="81"/>
            <rFont val="Tahoma"/>
            <family val="2"/>
          </rPr>
          <t xml:space="preserve">
FACULTAD DE DERECHO, CIENCIAS POLÍTICAS Y SOCIALES
Se cumple la meta nacional del 100% con 4.544 horas de clases presenciales en el semestre 2022-1 programadas y ejecutadas (1.984 Programa de Derecho Semestralizado y 4.544 horas del programa de Trabajo Social presenciales semanales por 16 semanas).</t>
        </r>
      </text>
    </comment>
    <comment ref="K132" authorId="1" shapeId="0" xr:uid="{00000000-0006-0000-0000-000047010000}">
      <text>
        <r>
          <rPr>
            <b/>
            <sz val="9"/>
            <color indexed="81"/>
            <rFont val="Tahoma"/>
            <family val="2"/>
          </rPr>
          <t>Gloria A. Sanchez M.:</t>
        </r>
        <r>
          <rPr>
            <sz val="9"/>
            <color indexed="81"/>
            <rFont val="Tahoma"/>
            <family val="2"/>
          </rPr>
          <t xml:space="preserve">
FACULTAD DE DERECHO, CIENCIAS POLÍTICAS Y SOCIALES
Se cumple la meta nacional del 100% con 6.580 horas de clases presenciales en el semestre 2022-2 programadas y ejecutadas (2.036 Programa de Derecho Semestralizado y 4.544 horas del programa de Trabajo Social presenciales semanales por 16 semanas).</t>
        </r>
      </text>
    </comment>
    <comment ref="E133" authorId="1" shapeId="0" xr:uid="{00000000-0006-0000-0000-000048010000}">
      <text>
        <r>
          <rPr>
            <b/>
            <sz val="9"/>
            <color indexed="81"/>
            <rFont val="Tahoma"/>
            <family val="2"/>
          </rPr>
          <t>Gloria A. Sanchez M.:</t>
        </r>
        <r>
          <rPr>
            <sz val="9"/>
            <color indexed="81"/>
            <rFont val="Tahoma"/>
            <family val="2"/>
          </rPr>
          <t xml:space="preserve">
Facultad de Ingeniería: En la facultad desde el inicio de las clases y hasta la fecha de terminación del período académico contemplado en el Calendario Académico para el primer semestre de 2022-1, las clases programadas desde cada uno de los programas adscritos a la Facultad y desde el área de Ciencias Básicas se orientaron en un 100%. La metodología implementada fue presencial.</t>
        </r>
      </text>
    </comment>
    <comment ref="K133" authorId="1" shapeId="0" xr:uid="{00000000-0006-0000-0000-000049010000}">
      <text>
        <r>
          <rPr>
            <b/>
            <sz val="9"/>
            <color indexed="81"/>
            <rFont val="Tahoma"/>
            <family val="2"/>
          </rPr>
          <t>Gloria A. Sanchez M.:</t>
        </r>
        <r>
          <rPr>
            <sz val="9"/>
            <color indexed="81"/>
            <rFont val="Tahoma"/>
            <family val="2"/>
          </rPr>
          <t xml:space="preserve">
Facultad de Ingeniería: En la facultad desde el inicio de las clases y hasta la fecha de terminación del período académico contemplado en el Calendario Académico para el primer semestre de 2022-2, las clases programadas desde cada uno de los programas adscritos a la Facultad y desde el área de Ciencias Básicas se orientaron en un 100%. La metodología implementada fue presencial.</t>
        </r>
      </text>
    </comment>
    <comment ref="D134" authorId="0" shapeId="0" xr:uid="{00000000-0006-0000-0000-00004A010000}">
      <text>
        <r>
          <rPr>
            <b/>
            <sz val="9"/>
            <color indexed="81"/>
            <rFont val="Tahoma"/>
            <family val="2"/>
          </rPr>
          <t>Gloria Amparo Sanchez:</t>
        </r>
        <r>
          <rPr>
            <sz val="9"/>
            <color indexed="81"/>
            <rFont val="Tahoma"/>
            <family val="2"/>
          </rPr>
          <t xml:space="preserve">
Indicador: de Investigaciones: “GRUPOS DE INVESTIGACIÓN RECONOCIDOS Y ESCALAFONADOS POR MINCIENCIAS” Para las Seccionales de Cali y Cúcuta la formula fue corregida. </t>
        </r>
      </text>
    </comment>
    <comment ref="E134" authorId="1" shapeId="0" xr:uid="{00000000-0006-0000-0000-00004B010000}">
      <text>
        <r>
          <rPr>
            <b/>
            <sz val="9"/>
            <color indexed="81"/>
            <rFont val="Tahoma"/>
            <family val="2"/>
          </rPr>
          <t>Gloria A. Sanchez M.:</t>
        </r>
        <r>
          <rPr>
            <sz val="9"/>
            <color indexed="81"/>
            <rFont val="Tahoma"/>
            <family val="2"/>
          </rPr>
          <t xml:space="preserve">
Se cumple la meta estándar nacional, con un resultado seccional de 12,50%. De los 11 grupos de investigación presentados por la Seccional ante Minciencias en la convocatoria 894, el 100%nfueron reconocidos y clasificados, mostrando un salto cuantitativo en el sentido que es primera vez que todos los grupos fueron clasificados. En la Facultad de Ciencias Económicas Administrativas y Contables los tres grupos mantuvieron su clasificación en B, resultado satisfactorio de acuerdo al número de docentes investigadores. En la Facultad de ingeniería dos grupos INAP y TRUEQUE, bajaron su clasificación quedando en B, este cambio obedece de un lado al crecimiento presentado em el indicador de grupo nacional, y de otra parte al efecto que tuvo el menor puntaje en el modelo de MInciencias de los libros y capítulos de libro. Se destaca que el grupo DRACMA, fue clasificado en B. Los dos grupos GICIVIL y OBELIX conservaron su clasificación. En la Facultad de Derecho, Ciencias Políticas y Sociales, el grupos Derecho, Estado y Sociedad conservó su clasificación en A.
En la Facultad de Ciencias de la Salud, Exactas y Naturales, se presentaron crecimientos el grupo Gerencia del Cuidado fue clasificado en A. y el grupo MICROBIOTEC en A1, este magnifico resultado expresa el trabajo en equipo, la estrategia y seguimiento a la misma, alcanzando por primera vez la seccional un grupo esta clasificación.
En general los resultados en la seccional de los grupos de investigación fueron positivos , consecuente con el trabajo colaborativo.</t>
        </r>
      </text>
    </comment>
    <comment ref="D135" authorId="0" shapeId="0" xr:uid="{00000000-0006-0000-0000-00004C010000}">
      <text>
        <r>
          <rPr>
            <b/>
            <sz val="9"/>
            <color indexed="81"/>
            <rFont val="Tahoma"/>
            <family val="2"/>
          </rPr>
          <t>Gloria Amparo Sanchez:</t>
        </r>
        <r>
          <rPr>
            <sz val="9"/>
            <color indexed="81"/>
            <rFont val="Tahoma"/>
            <family val="2"/>
          </rPr>
          <t xml:space="preserve">
Rango bueno: 5 - 4</t>
        </r>
      </text>
    </comment>
    <comment ref="E135" authorId="1" shapeId="0" xr:uid="{00000000-0006-0000-0000-00004D010000}">
      <text>
        <r>
          <rPr>
            <b/>
            <sz val="9"/>
            <color indexed="81"/>
            <rFont val="Tahoma"/>
            <family val="2"/>
          </rPr>
          <t>Gloria A. Sanchez M.:</t>
        </r>
        <r>
          <rPr>
            <sz val="9"/>
            <color indexed="81"/>
            <rFont val="Tahoma"/>
            <family val="2"/>
          </rPr>
          <t xml:space="preserve">
Se cumple la meta estándar de valoración de las actividades de grupos de investigación, con un resultado seccional de 4.58 en los 12 grupos de investigación, discriminado por Facultad así:
Facultad de Ingenierías: 4,5 ( 5 evaluaciones de los grupos de investigación)
Facultad de CEAC: 4,5 ( 3 evaluaciones de los grupos de investigación)
Facultad de Derecho CPS: 4,5 ( 1 evaluación del grupo de investigación)
Facultad de Ciencias de la Salud Exactas y naturales: 4,8 ( 3 evaluaciones de los grupos de investigación)</t>
        </r>
      </text>
    </comment>
    <comment ref="K135" authorId="1" shapeId="0" xr:uid="{00000000-0006-0000-0000-00004E010000}">
      <text>
        <r>
          <rPr>
            <b/>
            <sz val="9"/>
            <color indexed="81"/>
            <rFont val="Tahoma"/>
            <family val="2"/>
          </rPr>
          <t>Gloria A. Sanchez M.:</t>
        </r>
        <r>
          <rPr>
            <sz val="9"/>
            <color indexed="81"/>
            <rFont val="Tahoma"/>
            <family val="2"/>
          </rPr>
          <t xml:space="preserve">
Los resultados de las actividades desarrolladas de los grupos de investigación de la seccional presentaron un resultado total de 4.67 puntos, sumando la meta estándar de 4. Por facultad, su comportamiento fue el siguiente: En Ingeniera 4,60, Ciencias Económicas Administrativas y Contables 4,67. La faculta de Derecho Ciencias Políticas y Sociales 4.50 y la Faculta de Ciencias de la Salud, exactas y naturales 4.90. Estos resultados son coherentes con el resultados del PIDI que evalua los proyectos 11 y 12 de investigación.</t>
        </r>
      </text>
    </comment>
    <comment ref="D136" authorId="0" shapeId="0" xr:uid="{00000000-0006-0000-0000-00004F010000}">
      <text>
        <r>
          <rPr>
            <b/>
            <sz val="9"/>
            <color indexed="81"/>
            <rFont val="Tahoma"/>
            <family val="2"/>
          </rPr>
          <t>Gloria Amparo Sanchez:</t>
        </r>
        <r>
          <rPr>
            <sz val="9"/>
            <color indexed="81"/>
            <rFont val="Tahoma"/>
            <family val="2"/>
          </rPr>
          <t xml:space="preserve">
Rango bueno: 2,99% - 1,50%</t>
        </r>
      </text>
    </comment>
    <comment ref="E136" authorId="1" shapeId="0" xr:uid="{00000000-0006-0000-0000-000050010000}">
      <text>
        <r>
          <rPr>
            <b/>
            <sz val="9"/>
            <color indexed="81"/>
            <rFont val="Tahoma"/>
            <family val="2"/>
          </rPr>
          <t>Gloria A. Sanchez M.:</t>
        </r>
        <r>
          <rPr>
            <sz val="9"/>
            <color indexed="81"/>
            <rFont val="Tahoma"/>
            <family val="2"/>
          </rPr>
          <t xml:space="preserve">
Durante el 2022, se cumplió la meta nacional, obteniéndose un resultado del 5,13%. Se movilizaron internacionalmente 6 profesores, de los cuales 1 fue de manera virtual.
Es importante aclarar que para determinar l planta docente que cumple con los requisitos del indicador, se tomó en cuenta 97 profesores en jornada completa con una antigüedad mayor a 6 años y 20 docentes de media jornada con una antigüedad mínima de 3 años. El objetivo de las movilidades, fue cumplir actividades acordes con su labor de investigación y fortalecimiento de redes de investigación internacionales.</t>
        </r>
      </text>
    </comment>
    <comment ref="D137" authorId="0" shapeId="0" xr:uid="{00000000-0006-0000-0000-000051010000}">
      <text>
        <r>
          <rPr>
            <b/>
            <sz val="9"/>
            <color indexed="81"/>
            <rFont val="Tahoma"/>
            <family val="2"/>
          </rPr>
          <t>Gloria Amparo Sanchez:</t>
        </r>
        <r>
          <rPr>
            <sz val="9"/>
            <color indexed="81"/>
            <rFont val="Tahoma"/>
            <family val="2"/>
          </rPr>
          <t xml:space="preserve">
Rango bueno: 2,99% - 1,50%</t>
        </r>
      </text>
    </comment>
    <comment ref="E137" authorId="1" shapeId="0" xr:uid="{00000000-0006-0000-0000-000052010000}">
      <text>
        <r>
          <rPr>
            <sz val="8"/>
            <color indexed="81"/>
            <rFont val="Tahoma"/>
            <family val="2"/>
          </rPr>
          <t>Durante el año 2022 la seccional cumplió la meta estándar del indicador, obteniéndose un resultado del 34,61%. De un total de 2.199 estudiantes que cursaron el 40% de los créditos, 761 se beneficiaron con programas de movilidad entrante y saliente (17 presencial de estudiantes hacia el exterior y 744 modalidad virtual).
Modalidad presencial:
Se tuvieron 3 estudiantes en movilidad internacional entrante de Ingeniería civil (1) y Microbiología (2), provenientes de México, generada por la participación del convenio de cooperación en investigación DELFIN.
El total de estudiantes en movilidad saliente internacional fue de 17 alumnos por movilidad en las 4 Facultades: Ciencias económicas y administrativas - Derecho Ciencias Políticas y sociales - Ingenierías y Ciencias de la Salud Exactas y naturales, desagregados así: intercambio 9, 5 estudiantes por movilidad doble titulación, internacional con México Clacso y un curso virtual de programación de 20 estudiantes de ingeniería de sistemas (RIISIC - Argentina).
A continuación listo la movilidad virtual internacional reportada por las facultades en 2022:
Internacionalización virtual 2022:
Faceac: Información del diplomado internacional en finanzas internacionales desarrollado en colaboración con la Universidad Nacional Autónoma de México - asisten virtualmente 23 estudiantes UL y dos extranjeros (docentes que dictan el seminario)
Charla informativa con Northwestern State, USA: Se conectan 119 personas estudiantes UL
Participación en el seminario de Doctorado del Doctor Edgar Ortiz de la Universidad Nacional Autónoma de México. Asiste la postulante a doctorado profesora Angelica Morales.
Ingeniería de Sistemas:
20222: webinar : control de bucles 20 estudiantes UL , webinar Red Hat 19 participantes entre estudiantes unilibristas y extranjeros, curso de programación 600 participantes: curso dado a nivel nacional a todos los estudiantes interesados de la universidad libre.</t>
        </r>
      </text>
    </comment>
    <comment ref="D138" authorId="1" shapeId="0" xr:uid="{00000000-0006-0000-0000-000053010000}">
      <text>
        <r>
          <rPr>
            <b/>
            <sz val="9"/>
            <color indexed="81"/>
            <rFont val="Tahoma"/>
            <family val="2"/>
          </rPr>
          <t>Gloria A. Sanchez M.:</t>
        </r>
        <r>
          <rPr>
            <sz val="9"/>
            <color indexed="81"/>
            <rFont val="Tahoma"/>
            <family val="2"/>
          </rPr>
          <t xml:space="preserve">
Determina el nivel de satisfacción de las entidades donde se desarrollan las prácticas empresariales, a través de las encuestas de satisfacción que se realizan durante el semestre.
SE MODIFICA NOMBRE DEL INDICADOR ANTES:
Nivel de Satisfacción de las entidades sobre calidad y pertinencia de las prácticas empresariales</t>
        </r>
      </text>
    </comment>
    <comment ref="E138" authorId="1" shapeId="0" xr:uid="{00000000-0006-0000-0000-000054010000}">
      <text>
        <r>
          <rPr>
            <b/>
            <sz val="9"/>
            <color indexed="81"/>
            <rFont val="Tahoma"/>
            <family val="2"/>
          </rPr>
          <t>Gloria A. Sanchez M.:</t>
        </r>
        <r>
          <rPr>
            <sz val="9"/>
            <color indexed="81"/>
            <rFont val="Tahoma"/>
            <family val="2"/>
          </rPr>
          <t xml:space="preserve">
Durante el primer semestre de 2022, registraron la práctica 366 estudiantes, 9 de ellos cancelaron el semestre y 18 de ellos perdieron la asignatura de prácticas. De los 357 estudiantes registrados para aplicar sus prácticas, 226 las finalizaron en las empresas con quienes se tienen convenios y/o acuerdos de voluntades vigentes, obteniendo una calificación empresarial total de 1016,54 puntos para un resultado promedio en la seccional del 4.49%.
Las calificaciones se desagregaron así: 77 estudiantes fueron evaluados por las empresas con calificación de 5.0; 146 de ellos en el intervalo de calificación entre 4.0 y 4.9 y solo 3 de ellos registraron una calificación empresarial entre 3.9 y 3.0; se destaca en las evaluaciones el buen comportamiento en los aspectos de: puntualidad, Planificación y Organización del Trabajo, relaciones interpersonales, cumplimiento de los compromisos establecidos y logro del objetivo definido para la práctica.
Hay en la población general de practicantes, 15 estudiantes de práctica social primer nivel del programa Trabajo Social en proceso de ejecución de prácticas; 68 de práctica social del programa de Administración de Empresas los cuales participan de un modelo de Hábitos Empresariales; a la fecha hay 50 certificados en proceso de validación por firma de los empresarios al ser recibidos en forma virtual sin firma digital.
Es importante tener en cuenta que la Universidad sigue realizando convenios con instituciones y/o sitios diferentes a la ciudad de origen ?Pereira- y que corresponden a los ubicaciones de vivienda de los estudiantes practicantes que logran incorporarse a sus regiones para hacer inmersión en el campo laboral a partir del desarrollo de sus prácticas universitarias; en el primer semestre del año 2022 contabamos con 11 convenios de los cuales 34 corresponden al sector público y 87 al sector privado.
366 ESTUDIANTES INSCRIBIERON SUS PRACTICAS EN EL PERIODO 2022-1
No. de practicantes Facultad de ingenierías: 143 (70 en práctica empresarial y 73 en práctica social)
No. de practicantes Facultad de Ciencias Económicas, administrativas y contables: 101
No. de practicantes Facultad de Ciencias de la Salud: 92
No. de practicantes Facultad de Derecho (Trabajo Social): 30
</t>
        </r>
      </text>
    </comment>
    <comment ref="K138" authorId="1" shapeId="0" xr:uid="{00000000-0006-0000-0000-000055010000}">
      <text>
        <r>
          <rPr>
            <b/>
            <sz val="9"/>
            <color indexed="81"/>
            <rFont val="Tahoma"/>
            <family val="2"/>
          </rPr>
          <t>Gloria A. Sanchez M.:</t>
        </r>
        <r>
          <rPr>
            <sz val="9"/>
            <color indexed="81"/>
            <rFont val="Tahoma"/>
            <family val="2"/>
          </rPr>
          <t xml:space="preserve">
De los 366 estudiantes finales para desarrollar sus prácticas, 226 las finalizaron en las empresas con quienes se tienen convenios y/o acuerdos de voluntades vigentes, obteniendo una calificación empresarial total de 1.016,54 puntos para un resultado promedio en la seccional del 4.5%, discriminados de la siguiente manera:
366 ESTUDIANTES INSCRIBIERON SUS PRACTICAS EN EL PERIODO 2022-1 No. de practicantes Facultad de ingenierías: 143 (70 en práctica empresarial y 73 en práctica social) No. de practicantes Facultad de Ciencias Económicas, administrativas y contables: 101 No. de practicantes Facultad de Ciencias de la Salud: 92 No. de practicantes Facultad de Derecho (Trabajo Social): 30
INFORME GENERAL - PRACTICAS 2022-1.xlsx
De los 367 estudiantes finales para desarrollar sus prácticas, 282 las finalizaron en las empresas con quienes se tienen convenios y/o acuerdos de voluntades vigentes, obteniendo una calificación empresarial total de 1.332,3 puntos para un resultado promedio en la seccional del 4.72%, discriminados de la siguiente manera:  367 ESTUDIANTES INSCRIBIERON SUS PRACTICAS EN EL PERIODO 2022-2 No. de practicantes Facultad de ingenierías: 177 (82 en práctica empresarial y 95 en práctica social) No. de practicantes Facultad de Ciencias Económicas, administrativas y contables: 81 No. de practicantes Facultad de Ciencias de la Salud: 87 No. de practicantes Facultad de Derecho (Trabajo Social): 22
RESUMEN INFO EVIDENCIAS INDICADOR ID 364 - KAWAK 2022-2.xlsx
</t>
        </r>
      </text>
    </comment>
    <comment ref="D139" authorId="1" shapeId="0" xr:uid="{00000000-0006-0000-0000-000056010000}">
      <text>
        <r>
          <rPr>
            <b/>
            <sz val="9"/>
            <color indexed="81"/>
            <rFont val="Tahoma"/>
            <family val="2"/>
          </rPr>
          <t>Gloria A. Sanchez M.:</t>
        </r>
        <r>
          <rPr>
            <sz val="9"/>
            <color indexed="81"/>
            <rFont val="Tahoma"/>
            <family val="2"/>
          </rPr>
          <t xml:space="preserve">
Determinar la eficiencia en la asignación de prácticas empresariales según el número de estudiantes que realizaron las solicitudes durante el semestre.
NOTA: SOLO APLICA PARA CIENCIAS EONÓMICAS Y CONTABLES E INGENIERÍAS.</t>
        </r>
      </text>
    </comment>
    <comment ref="E139" authorId="1" shapeId="0" xr:uid="{00000000-0006-0000-0000-000057010000}">
      <text>
        <r>
          <rPr>
            <b/>
            <sz val="9"/>
            <color indexed="81"/>
            <rFont val="Tahoma"/>
            <family val="2"/>
          </rPr>
          <t>Gloria A. Sanchez M.:</t>
        </r>
        <r>
          <rPr>
            <sz val="9"/>
            <color indexed="81"/>
            <rFont val="Tahoma"/>
            <family val="2"/>
          </rPr>
          <t xml:space="preserve">
Durante el primer semestre del año 2022, el total de solicitudes para asignación de prácticas fue de 244 y el número de prácticas asignadas fue de 243 equivalente al 99,59%; el estudiante faltante, obedece a que desde la oficina de Consultorio empresarial - Prácticas CEIDEUL, se le asignó la práctica pero no se presentó sin ninguna justificación.
La distribución por programa de estudiantes practicantes, es:
Administración de empresas: 39 prácticas asignadas (100%)
Contaduría Pública: 23 prácticas asignadas (95,83%)
Economía: 38 prácticas asignadas (100%)
Ingeniería Civil: 112 prácticas asignadas (100%)
Ingeniería Comercial: 24 prácticas asignadas (100%)
Ingeniería Sistemas: 6 prácticas asignadas (100%)
Ingeniería Financiera: 1 prácticas asignadas (100%)
Para este semestre, se contó con 121 centros de prácticas, de los cuales 34 correspondieron al sector público equivalente al 28.1% y 87 al sector privado equivalente al 71,9%</t>
        </r>
      </text>
    </comment>
    <comment ref="K139" authorId="1" shapeId="0" xr:uid="{00000000-0006-0000-0000-000058010000}">
      <text>
        <r>
          <rPr>
            <b/>
            <sz val="9"/>
            <color indexed="81"/>
            <rFont val="Tahoma"/>
            <family val="2"/>
          </rPr>
          <t>Gloria A. Sanchez M.:</t>
        </r>
        <r>
          <rPr>
            <sz val="9"/>
            <color indexed="81"/>
            <rFont val="Tahoma"/>
            <family val="2"/>
          </rPr>
          <t xml:space="preserve">
Durante el segundo semestre del año 2022, el total de solicitudes para asignación de prácticas fue de 367 y el número de prácticas asignadas fue de 365 equivalente al 99,45%; dos estudiantes faltantes, obedecen a que desde la oficina de Consultorio empresarial - Prácticas CEIDEUL, se le asignó la práctica pero no se presentaron a los sitios de práctica sin ninguna justificación.
La distribución de estudiantes practicantes por programa es:
Administración de empresas: 42 prácticas asignadas (100%)
Contaduría Pública: 20 prácticas asignadas (100%)
Economía: 18 prácticas asignadas (94.73%)
Ingeniería Civil: 124 prácticas asignadas (100%)
Ingeniería Comercial: 26 prácticas asignadas (100%)
Ingeniería Sistemas: 4 prácticas asignadas (80%)
Ingeniería Financiera: 22 prácticas asignadas (100%)
Para este semestre, se contó con 143 centros de prácticas, de los cuales 46 correspondieron al sector público equivalente al 32.2% y 97 al sector privado equivalente al 67.8%</t>
        </r>
      </text>
    </comment>
    <comment ref="E140" authorId="1" shapeId="0" xr:uid="{00000000-0006-0000-0000-000059010000}">
      <text>
        <r>
          <rPr>
            <b/>
            <sz val="9"/>
            <color indexed="81"/>
            <rFont val="Tahoma"/>
            <family val="2"/>
          </rPr>
          <t>Gloria A. Sanchez M.:</t>
        </r>
        <r>
          <rPr>
            <sz val="9"/>
            <color indexed="81"/>
            <rFont val="Tahoma"/>
            <family val="2"/>
          </rPr>
          <t xml:space="preserve">
De acuerdo con el número de convenios institucionales del semestre 2022-1, logramos contar con la participación de 121 sitios específicos descritos de la siguiente manera:
En el sector público 34 convenios realizados con instituciones como gobernaciones, alcaldías, hospitales, personerías, contralorías, DIAN e instituciones educativas.
En el sector privado 87 convenios realizados con empresarios en general (comercio, industria, servicios, construcción), emprendedores, fundaciones, corporaciones, asociaciones sectoriales, gremios de la producción y el sistema financiero.
Haciendo un seguimiento puntual a los listados de chequeo de los 26 grupos de prácticas y al acompañamiento en sitio o virtual por parte de 14 docentes asignados para los 26 grupos, encontramos un porcentaje de cumplimiento cercano al 72% al lograr atender en 87 visitas alrededor de 172 estudiantes de los 226 certificados puntualmente con el formato F06 de cumplimiento de las prácticas por parte de los empresarios. La población pendiente de verificación de las certificaciones (empresarios) y estudiantes se esta realizando vía telefónica para confirmar algunos certificados de cumplimiento de prácticas recibidos en forma virtual y sin firma por parte las empresas.
Plan de Trabajo PS 2022-1.xlsx</t>
        </r>
      </text>
    </comment>
    <comment ref="K140" authorId="1" shapeId="0" xr:uid="{00000000-0006-0000-0000-00005A010000}">
      <text>
        <r>
          <rPr>
            <b/>
            <sz val="9"/>
            <color indexed="81"/>
            <rFont val="Tahoma"/>
            <family val="2"/>
          </rPr>
          <t>Gloria A. Sanchez M.:</t>
        </r>
        <r>
          <rPr>
            <sz val="9"/>
            <color indexed="81"/>
            <rFont val="Tahoma"/>
            <family val="2"/>
          </rPr>
          <t xml:space="preserve">
De acuerdo con el número de convenios institucionales del semestre 2022-2, logramos contar con la participación de 143 sitios de práctica, aclarando que desde el sector público, las secretarias de despacho así como los institutos descentralizados se contabilizan por unidad de acuerdo con la ubicación de los estudiantes practicantes y en forma específica descritos de la siguiente manera:
En el sector público, 46 convenios realizados con instituciones como gobernaciones, alcaldías, hospitales, personerías, contralorías, DIAN e instituciones educativas.
En el sector privado, 97 convenios realizados con empresarios en general (comercio, industria, servicios, construcción), emprendedores, fundaciones, corporaciones, asociaciones sectoriales, gremios de la producción y el sistema financiero.
Haciendo un seguimiento puntual a los listados de chequeo de los 20 grupos de prácticas y al acompañamiento de los docentes asignados a prácticas, el seguimiento se hizo de tres formas diferentes: en el sitio de prácticas (empresa/institución), mediante comunicaciones telefónicas o de manera virtual. Según la verificación, encontramos un porcentaje de cumplimiento cercano al 82% al lograr atender en 117 visitas alrededor de 323 estudiantes de los 367 que podrían estar certificados puntualmente con el formato F06 de cumplimiento de las prácticas por parte de los empresarios.
La población pendiente de verificación de las certificaciones (empresarios) se esta realizando mediante verificación de la información recibida vía e-mail, en pocos casos física, para confirmar no solo el seguimiento de los docentes sino también algunos certificados de cumplimiento de prácticas aportados por los estudiantes.
</t>
        </r>
      </text>
    </comment>
    <comment ref="E141" authorId="1" shapeId="0" xr:uid="{00000000-0006-0000-0000-00005B010000}">
      <text>
        <r>
          <rPr>
            <b/>
            <sz val="9"/>
            <color indexed="81"/>
            <rFont val="Tahoma"/>
            <family val="2"/>
          </rPr>
          <t>Gloria A. Sanchez M.:</t>
        </r>
        <r>
          <rPr>
            <sz val="9"/>
            <color indexed="81"/>
            <rFont val="Tahoma"/>
            <family val="2"/>
          </rPr>
          <t xml:space="preserve">
En el año lectivo 2022 se recepcionaron 600 solicitudes de conciliación, de las cuales 348 llegaron a acuerdo conciliatorio lo que significa un porcentaje del 58% superando la meta en un 8%.
Entre los 252 casos en los que no hubo acuerdo conciliatorio, 98 corresponden a NO ACUERDO, siendo el restante distribuidos entre inasistencias, desistimientos y pendientes por realizar audiencia en el mes de enero 2023.</t>
        </r>
      </text>
    </comment>
    <comment ref="E142" authorId="1" shapeId="0" xr:uid="{00000000-0006-0000-0000-00005C010000}">
      <text>
        <r>
          <rPr>
            <b/>
            <sz val="9"/>
            <color indexed="81"/>
            <rFont val="Tahoma"/>
            <family val="2"/>
          </rPr>
          <t>Gloria A. Sanchez M.:</t>
        </r>
        <r>
          <rPr>
            <sz val="9"/>
            <color indexed="81"/>
            <rFont val="Tahoma"/>
            <family val="2"/>
          </rPr>
          <t xml:space="preserve">
En primer semestre del año 2022 se programaron 43 eventos entre las 4 Facultades y se logro la ejecución de 42 eventos en su totalidad, con un porcentaje de cumplimiento del 97,7%, con una población impactada de 3.483 personas entre estudiantes, docentes, egresados y público en general. Las modalidades de la oferta en forma solidaria y pecuniaria han sido presenciales y asistidas por la TIC.</t>
        </r>
      </text>
    </comment>
    <comment ref="K142" authorId="1" shapeId="0" xr:uid="{00000000-0006-0000-0000-00005D010000}">
      <text>
        <r>
          <rPr>
            <b/>
            <sz val="9"/>
            <color indexed="81"/>
            <rFont val="Tahoma"/>
            <family val="2"/>
          </rPr>
          <t>Gloria A. Sanchez M.:</t>
        </r>
        <r>
          <rPr>
            <sz val="9"/>
            <color indexed="81"/>
            <rFont val="Tahoma"/>
            <family val="2"/>
          </rPr>
          <t xml:space="preserve">
En el segundo semestre del año 2022 se programaron 50 eventos entre las 4 Facultades y se logro la ejecución de 46 eventos en su totalidad (Diplomados 2; cursos 2; talleres 2; seminarios, simposios y/o congresos 21 y otros 19), con un porcentaje de cumplimiento del 92%, con una población impactada de 6.185 personas entre estudiantes, docentes, egresados y público en general. Las modalidades de la oferta en forma solidaria y pecuniaria han sido presenciales y asistidas por las TIC.</t>
        </r>
      </text>
    </comment>
    <comment ref="E143" authorId="1" shapeId="0" xr:uid="{00000000-0006-0000-0000-00005E010000}">
      <text>
        <r>
          <rPr>
            <b/>
            <sz val="9"/>
            <color indexed="81"/>
            <rFont val="Tahoma"/>
            <family val="2"/>
          </rPr>
          <t>Gloria A. Sanchez M.:</t>
        </r>
        <r>
          <rPr>
            <sz val="9"/>
            <color indexed="81"/>
            <rFont val="Tahoma"/>
            <family val="2"/>
          </rPr>
          <t xml:space="preserve">
Durante el primer semestre del 2022, el número total de casos atendidos por el centro de conciliación fue de 325 frente a 350 casos proyectados o esperados. Del total de casos atendidos 39 corresponden a solicitudes remitidas por el ICBF como resultado de una brigada realizada con ellos logrando contribuir a descongestionar el Instituto. Las demás correponden a las solicitudes realizadas por los estudiantes practicantes, cumpliendose la meta en un 92,86%</t>
        </r>
      </text>
    </comment>
    <comment ref="K143" authorId="1" shapeId="0" xr:uid="{00000000-0006-0000-0000-00005F010000}">
      <text>
        <r>
          <rPr>
            <b/>
            <sz val="9"/>
            <color indexed="81"/>
            <rFont val="Tahoma"/>
            <family val="2"/>
          </rPr>
          <t>Gloria A. Sanchez M.:</t>
        </r>
        <r>
          <rPr>
            <sz val="9"/>
            <color indexed="81"/>
            <rFont val="Tahoma"/>
            <family val="2"/>
          </rPr>
          <t xml:space="preserve">
De Julio a Diciembre de 2022 se atendieron 275 casos de los 200 que se tenían proyecados. De la anterior cifra, 42 corresponden a solicitudes remitidas por el ICBF resultado de 3 jornadas masivas de conciliación organizadas por el Centro de Conciliación, con la finalidad de contribuir a descongestionar dicha institución. Superando la meta en un 137.50%
</t>
        </r>
      </text>
    </comment>
    <comment ref="E144" authorId="1" shapeId="0" xr:uid="{00000000-0006-0000-0000-000060010000}">
      <text>
        <r>
          <rPr>
            <b/>
            <sz val="9"/>
            <color indexed="81"/>
            <rFont val="Tahoma"/>
            <family val="2"/>
          </rPr>
          <t>Gloria A. Sanchez M.:</t>
        </r>
        <r>
          <rPr>
            <sz val="9"/>
            <color indexed="81"/>
            <rFont val="Tahoma"/>
            <family val="2"/>
          </rPr>
          <t xml:space="preserve">
En el primer semestre se presentaron 2 solicitudes a través de las PQRSD registradas en Kawak para el Consultorio Jurídico y Centro de Conciliación, las cuales se respondieron oportunamente a los usuarios dando la orientación requerida.</t>
        </r>
      </text>
    </comment>
    <comment ref="K144" authorId="1" shapeId="0" xr:uid="{00000000-0006-0000-0000-000061010000}">
      <text>
        <r>
          <rPr>
            <b/>
            <sz val="9"/>
            <color indexed="81"/>
            <rFont val="Tahoma"/>
            <family val="2"/>
          </rPr>
          <t>Gloria A. Sanchez M.:</t>
        </r>
        <r>
          <rPr>
            <sz val="9"/>
            <color indexed="81"/>
            <rFont val="Tahoma"/>
            <family val="2"/>
          </rPr>
          <t xml:space="preserve">
En el segundo semestre se presentaron 4 solicitudes a través de las PQRSD registradas en Kawak para el Consultorio Jurídico y Centro de Conciliación, las cuales se respondieron oportunamente a los usuarios dando la orientación requerida</t>
        </r>
      </text>
    </comment>
    <comment ref="E145" authorId="1" shapeId="0" xr:uid="{00000000-0006-0000-0000-000062010000}">
      <text>
        <r>
          <rPr>
            <b/>
            <sz val="9"/>
            <color indexed="81"/>
            <rFont val="Tahoma"/>
            <family val="2"/>
          </rPr>
          <t>Gloria A. Sanchez M.:</t>
        </r>
        <r>
          <rPr>
            <sz val="9"/>
            <color indexed="81"/>
            <rFont val="Tahoma"/>
            <family val="2"/>
          </rPr>
          <t xml:space="preserve">
Durante el primer semestre de 2022, 204 usuarios calificaron el servicio con un porcentaje de satisfacción del 95,10% de lo cuales 194 fueron evaluaciones entre excelente y bueno, 10 estuvieron entre regular y malo. Es importante aclarar que el total de solicitudes atendidas en el primer semestre del año en el Centro de Conciliación del Consultorio Jurídico fue de 325 usuarios; dichas calificaciones del servicio corresponden tanto al Consultorio Jurídico como al Centro de Conciliación. Las observaciones que los usuarios describen en las calificaciones fueron socializadas con los estudiantes-practicantes y docentes para su retroalimentación.
</t>
        </r>
      </text>
    </comment>
    <comment ref="K145" authorId="1" shapeId="0" xr:uid="{00000000-0006-0000-0000-000063010000}">
      <text>
        <r>
          <rPr>
            <b/>
            <sz val="9"/>
            <color indexed="81"/>
            <rFont val="Tahoma"/>
            <family val="2"/>
          </rPr>
          <t>Gloria A. Sanchez M.:</t>
        </r>
        <r>
          <rPr>
            <sz val="9"/>
            <color indexed="81"/>
            <rFont val="Tahoma"/>
            <family val="2"/>
          </rPr>
          <t xml:space="preserve">
Durante el segundo semestre de 2022, 206 usuarios calificaron el servicio con un porcentaje de satisfacción del 93,69% de lo cuales 193 fueron evaluaciones entre excelente y bueno, 13 estuvieron entre regular y malo.
Es necesario resaltar que las calificaciones del servicio corresponden tanto al Consultorio Jurídico como Centro de Conciliación. Las observaciones que los usuarios describen en las calificaciones fueron socializadas con los estudiantes-practicantes y docentes para su retroalimentación.</t>
        </r>
      </text>
    </comment>
    <comment ref="E146" authorId="1" shapeId="0" xr:uid="{00000000-0006-0000-0000-000064010000}">
      <text>
        <r>
          <rPr>
            <b/>
            <sz val="9"/>
            <color indexed="81"/>
            <rFont val="Tahoma"/>
            <family val="2"/>
          </rPr>
          <t>Gloria A. Sanchez M.:</t>
        </r>
        <r>
          <rPr>
            <sz val="9"/>
            <color indexed="81"/>
            <rFont val="Tahoma"/>
            <family val="2"/>
          </rPr>
          <t xml:space="preserve">
Para el primer semestre del 2022, se programaron y realizaron 4 brigadas sociojuridicas.
1. AMCOVE-municipio de Santa Rosa de Cabal, donde se brindó asistencia jurídica a los migrantes venezolanos,asistieron un total de 68 usuarios.
2. AMCOVE-municipio de Dosquebradas, donde tambiés se brindó asistencia jurídica a los migrantes venezolanos, asistieron 100 personas.
3 y 4. Jornada Masiva de conciliación como apoyo a las solicitudes recibidas por el Instituto Colombiano de Bienestar Familiar, en total se recibieron 39 solicitudes de conciliación, audiencias que se realizaron los días 26, 27 de mayo, 2 y 3 de junio.</t>
        </r>
      </text>
    </comment>
    <comment ref="K146" authorId="1" shapeId="0" xr:uid="{00000000-0006-0000-0000-000065010000}">
      <text>
        <r>
          <rPr>
            <b/>
            <sz val="9"/>
            <color indexed="81"/>
            <rFont val="Tahoma"/>
            <family val="2"/>
          </rPr>
          <t>Gloria A. Sanchez M.:</t>
        </r>
        <r>
          <rPr>
            <sz val="9"/>
            <color indexed="81"/>
            <rFont val="Tahoma"/>
            <family val="2"/>
          </rPr>
          <t xml:space="preserve">
En el segundo semestre del año 2022 se realizaron 8 brigadas y 3 jornadas masivas de conciliación discriminadas de la siguiente manera;
1. Municipio de Dosquebradas en donde se atendieron 13 personas.
2. AMCOVE con una atención de 5 usuarios
3. Municipio de Quinchia; 18 personas.
4. Barrio El Dorado-Pereira se recepcionaron 5 asesorias.
5. Municipio de Mistrato se atendieron 40 personas.
6. Barrio Remanso-Pereira 5 usuarios atendidos
7. Escuela La Palabra-Pereira 10 asesorias realizadas.
8. Municipio Anserma Nuevo con apoyo del Ingenio Risaralda, 11 casos atendidos.
9. Recepción de 44 solicitudes de conciliación por parte de Bienestar Familiar, los días 16 de agosto, 8 de septiembre y 30 de noviembre de 2022.</t>
        </r>
      </text>
    </comment>
    <comment ref="E147" authorId="1" shapeId="0" xr:uid="{00000000-0006-0000-0000-000066010000}">
      <text>
        <r>
          <rPr>
            <b/>
            <sz val="9"/>
            <color indexed="81"/>
            <rFont val="Tahoma"/>
            <family val="2"/>
          </rPr>
          <t>Gloria A. Sanchez M.:</t>
        </r>
        <r>
          <rPr>
            <sz val="9"/>
            <color indexed="81"/>
            <rFont val="Tahoma"/>
            <family val="2"/>
          </rPr>
          <t xml:space="preserve">
La eficacia del SGC en la Seccional Pereira durante el año 2022 fue del 90,67%,  El cumplimiento de los objetivos de calidad para el año 2022 fue en promedio del 92,00% (2022-1: 91,72%  y para el segundo semestre de 2022 se logró un resultado del 92,70%) ;  la ponderación que se dió para el primer objetivo de calidad  fue de 60% para encuesta (81,00% de cumplimiento), 20% quejas (2022-1: 100%  y 2022-2 100%%)  y 20% para calificaciones del servicio (2022-1: 97,28%  y 2022-2:  96,94%).  Para el objetivo 2 de acuerdos de servicio, la ponderación fue del 30% (2022-1: 88,89%  y 2022-2 96,94%) y el objtivo 3 indicadores de eficacia la ponderación fue del 30% (2022-1: 93,57%  y 2022-2: 94,83%). Comparativo resultados de eficacia del SGC de los períodos comprendidos entre el  2006-1 hasta el 2022:
2006-2   2007-1    2007-2      2008-1     2008-2        2009-1      2010-1     2010-2      2011-1     2011-2     2012-1      2012-2    2013-1      2013-2   2014-1      2014-2                 
  46%          50%          68%         73%              71%               74,6%        58%        74%              2,6%        2,6%        2,2%         2,3%         2,4%          2,4%       2,4%          2,3%
2015-1      2015-2    2016-1         2016-2     2017-1     2017-2     2018-1      2018-2   2019-1     2019-2       2020-1      2020-2     2021-1      2021-2          2022-1      2022-2
 2,4%          2,3%        2,2%            3%             92%          86%          86%         89%        86,77%     91,11%        84,93%      90,70%     89,96%    87,84%            89,96%     92,72%</t>
        </r>
      </text>
    </comment>
  </commentList>
</comments>
</file>

<file path=xl/sharedStrings.xml><?xml version="1.0" encoding="utf-8"?>
<sst xmlns="http://schemas.openxmlformats.org/spreadsheetml/2006/main" count="370" uniqueCount="296">
  <si>
    <t>Proceso</t>
  </si>
  <si>
    <t>Resultado Indicador</t>
  </si>
  <si>
    <t>Entregado?</t>
  </si>
  <si>
    <t>Observaciones</t>
  </si>
  <si>
    <t xml:space="preserve">Indicadores Medidos </t>
  </si>
  <si>
    <t>META</t>
  </si>
  <si>
    <t>Enero - Junio</t>
  </si>
  <si>
    <t>Julio - Diciembre</t>
  </si>
  <si>
    <t>Resultado 2007</t>
  </si>
  <si>
    <t>Enero - Marzo</t>
  </si>
  <si>
    <t>Abril - Junio</t>
  </si>
  <si>
    <t>Julio - Septiembre</t>
  </si>
  <si>
    <t>Octubre - Diciembre</t>
  </si>
  <si>
    <t>Enero</t>
  </si>
  <si>
    <t>Febrero</t>
  </si>
  <si>
    <t>Marzo</t>
  </si>
  <si>
    <t>Abril</t>
  </si>
  <si>
    <t>Mayo</t>
  </si>
  <si>
    <t>Junio</t>
  </si>
  <si>
    <t>Julio</t>
  </si>
  <si>
    <t>Agosto</t>
  </si>
  <si>
    <t>Septiembre</t>
  </si>
  <si>
    <t>Octubre</t>
  </si>
  <si>
    <t>Noviembre</t>
  </si>
  <si>
    <t>Diciembre</t>
  </si>
  <si>
    <t>Gestión de admisiones y registros (GR)</t>
  </si>
  <si>
    <t>No</t>
  </si>
  <si>
    <t>Si</t>
  </si>
  <si>
    <t>Reportado Enero - Junio</t>
  </si>
  <si>
    <t>Reportado por meses Enero - marzo</t>
  </si>
  <si>
    <t>Recurrentes</t>
  </si>
  <si>
    <t>Cerradas</t>
  </si>
  <si>
    <t>Respuesta de las quejas dentro del tiempo establecido</t>
  </si>
  <si>
    <t>Adquisiciones y Suministros (GA)</t>
  </si>
  <si>
    <t>Auditoría Interna (GC)</t>
  </si>
  <si>
    <t>Gestión de Biblioteca (GB)</t>
  </si>
  <si>
    <t>Capacidad en puestos de lectura</t>
  </si>
  <si>
    <t>5% de los alumnos matriculados</t>
  </si>
  <si>
    <t xml:space="preserve"> 0,5% para colección de estantería cerrada</t>
  </si>
  <si>
    <t>Pendiente</t>
  </si>
  <si>
    <t>Bienestar (BU)</t>
  </si>
  <si>
    <t>Calidad - Indicadores (AC)</t>
  </si>
  <si>
    <t>Pendiente entrega procesos</t>
  </si>
  <si>
    <t>Pendiente Análisis ingeniera</t>
  </si>
  <si>
    <t>Pendiente de ejecución auditorías</t>
  </si>
  <si>
    <t>Gestión Financiera (GF)</t>
  </si>
  <si>
    <t>Falta Septiembre</t>
  </si>
  <si>
    <t>Promedio</t>
  </si>
  <si>
    <t>Pendiente - Esperanza y  Jakeline</t>
  </si>
  <si>
    <t>Quejas - GF</t>
  </si>
  <si>
    <t>Quejas</t>
  </si>
  <si>
    <t>Gestión Humana (GH)</t>
  </si>
  <si>
    <t xml:space="preserve">Promedio </t>
  </si>
  <si>
    <t>Evaluación del período de prueba</t>
  </si>
  <si>
    <t>Gestión Informática - GI</t>
  </si>
  <si>
    <t>Quejas - GI</t>
  </si>
  <si>
    <t xml:space="preserve">Gestión Servicios (GS) </t>
  </si>
  <si>
    <t>TOTAL</t>
  </si>
  <si>
    <t>NOMBRE DEL INDICADOR</t>
  </si>
  <si>
    <t>FORMULA</t>
  </si>
  <si>
    <t>Uso y apropiación del sistema SINU vía Web, para el registro de matricula</t>
  </si>
  <si>
    <t>Número de estudiantes que realizaron el registro de materias por  internet / Total de estudiantes matriculados * 100%</t>
  </si>
  <si>
    <t>Numero de certificaciones y constancias entregadas dentro de los tiempos establecidos / Numero de solicitudes presentadas en el período * 100%</t>
  </si>
  <si>
    <t>(Número de docentes que entregan notas dentro del tiempo establecido/ total de docentes) * 100%</t>
  </si>
  <si>
    <t>Número de certificados no reprocesados/número total de certificados elaborados en el período) * 100%</t>
  </si>
  <si>
    <t>Gestión de Compras: Total de solicitudes atendidas en el periodo / Total de solicitudes recibidas en el periodo * 100</t>
  </si>
  <si>
    <t>Gestión de Compras: Total de solicitudes devueltas por errores o fallas en el periodo / Total de solicitudes recibidas en el periodo * 100</t>
  </si>
  <si>
    <t>Gestión de Compras: Total de solicitudes no tramitadas en el periodo / Total de solicitudes recibidas en el periodo * 100</t>
  </si>
  <si>
    <t>Número de solicitudes tramitadas en los tiempos establecidos en el acuerdo  de servicio / Total de solicitudes recibidas en el periodo por rango  *100%</t>
  </si>
  <si>
    <t>(Fecha de entrega de los productos - Fecha de radicación del pedido en almacén) / Total de pedidos entregados en el periodo</t>
  </si>
  <si>
    <t>Número de cuentas auditadas (control previo) dentro de los plazos establecidos en el acuerdo de servicio / Total de cuentas recibidas en el mes  * 100%</t>
  </si>
  <si>
    <t>Número de puestos de lectura / Número total de alumnos  * 100%</t>
  </si>
  <si>
    <t>Total de alumnos nuevos que reciben la inducción / Total de alumnos nuevos matriculados * 100%</t>
  </si>
  <si>
    <t>N° de actividades programadas ejecutadas / Total de actividades programadas * 100%</t>
  </si>
  <si>
    <t>Sumatoria de la Calificación de la encuesta de satisfacción área de salud y desarrollo humano en el semestre en el servicio de psicología / No. Total de encuestas del semestre en el Servicio Médico</t>
  </si>
  <si>
    <t>Sumatoria de la Calificación de la encuesta de satisfacción área de salud y desarrollo humano en el semestre en el servicio de psicología /No. Total de encuestas del semestre en el servicio de psicología</t>
  </si>
  <si>
    <t>Número de quejas recurrentes por proceso / Total de quejas del semestre por proceso * 100%</t>
  </si>
  <si>
    <t>No. de quejas cerradas en el semestre por proceso / Total de quejas del semestre por proceso * 100%</t>
  </si>
  <si>
    <t>No. de quejas respondidas dentro de los 8 días calendario posteriores a la entrega de la queja al proceso / Total de quejas del semestre por proceso * 100%</t>
  </si>
  <si>
    <t>Número de cuentas radicadas dentro de los plazos establecidos en el acuerdo de servicio / Total de cuentas recibidas en el mes  * 100%</t>
  </si>
  <si>
    <t>Número de cuentas causadas dentro de los plazos establecidos en el acuerdo de servicio / Total de cuentas recibidas para causación en el mes  * 100%</t>
  </si>
  <si>
    <t>(((Valor del total del presupuesto de inversión modificado - Adición de recursos de capital) - valor del presupuesto total de inversión aprobado) / valor total del presupuesto de inversión aprobado) * 100%</t>
  </si>
  <si>
    <t>(((Valor del presupuesto de ingresos operacional y no operacionales  modificado - Adición de recursos de capital) - Valor del presupuesto de ingresos operacional y no operacionales aprobado) / valor total del presupuesto de ingresos operacional y no operacionales aprobado) * 100%</t>
  </si>
  <si>
    <t>(valor de los créditos directos recaudados / valor  de los créditos directos otorgados por período) * 100%</t>
  </si>
  <si>
    <t>Valor total del recaudo mes de los créditos a través de entidades financieras/valor total de los créditos otorgados por las entidades financieras) * 100%</t>
  </si>
  <si>
    <t>Fecha entrega de estados financieros - Fecha establecida en el cronograma de presidencia para la entrega de estados financieros</t>
  </si>
  <si>
    <t>Numero de solicitudes tramitadas dentro del plazo establecido en el acuerdo de servicios / Total de solicitudes radicadas * 100%</t>
  </si>
  <si>
    <t>Numero de certificaciones entregadas dentro del plazo establecido en el acuerdo de servicio / número de certificaciones solicitadas * 100%</t>
  </si>
  <si>
    <t>Número de personas de planta que superaron el periodo de prueba / Número total de personas vinculadas de planta * 100%</t>
  </si>
  <si>
    <t>Sumatoria del numero de trabajadores evaluados que obtuvieron una calificación mayor o igual a setenta (70) puntos en la evaluación de desempeño/desarrollo / Total trabajadores evaluados * 100%</t>
  </si>
  <si>
    <t>Requerimientos tramitados en los tiempos establecidos en el acuerdo de servicio / 
Total de requerimientos recibidos * 100%</t>
  </si>
  <si>
    <t>Número de solicitudes atendidas / 
Total de requerimientos * 100%</t>
  </si>
  <si>
    <t>No de equipos de cómputo  verificados que estén funcionando correctamente al servicio de docentes y estudiantes dentro del  tiempo establecido en el acuerdo de servicio /Total de equipos de cómputo al servicio de docentes y estudiantes * 100%</t>
  </si>
  <si>
    <t>No de Incidentes cerrados en los  equipos de cómputo al servicio de docentes y estudiantes./Total de equipos de cómputo  verificados*100%</t>
  </si>
  <si>
    <t>Nº solicitudes de servicio de mantenimiento atendidas en el tiempo establecido / Nº solicitudes de servicio de mantenimiento recibidas * 100%</t>
  </si>
  <si>
    <t>N° de actividades programadas ejecutadas / Total de actividades programadas * 100</t>
  </si>
  <si>
    <t>(No de servicios calificados con excelente-bueno o 5-4 /Total de servicios atendidos en el semestre ) * 100%</t>
  </si>
  <si>
    <t xml:space="preserve">Ejecución del programa de mantenimiento de libros </t>
  </si>
  <si>
    <t>Seguimiento al cumplimiento de los días establecidos en acuerdo de servicio para el trámite - cuentas por pagar.</t>
  </si>
  <si>
    <t>Cumplimiento de los días establecidos en el acuerdo de servicio para el  trámite cuentas por pagar</t>
  </si>
  <si>
    <t>No. de trasferencias realizadas en el Año/ No. de trasferencias programadas en el Año x 100%</t>
  </si>
  <si>
    <t>Número de solicitudes entregadas dentro de los tiempos establecidos / Número de solicitudes presentadas en el período * 100</t>
  </si>
  <si>
    <t>No. de volúmenes de material bibliogáfico perdido anualmente / No. total de volúmenes de material bibliográfico x 100%</t>
  </si>
  <si>
    <t>DOCENCIA</t>
  </si>
  <si>
    <t>INVESTIGACIÓN</t>
  </si>
  <si>
    <t>PROYECCIÓN SOCIAL</t>
  </si>
  <si>
    <t>INTERNACIONALIZACIÓN</t>
  </si>
  <si>
    <t>No de programas que obtuvieron acreditación de alta calidad en el periodo/ Total de programas sometidos a acreditación de alta calidad en el periodo * 100%</t>
  </si>
  <si>
    <t>No de programas que obtuvieron de registro calificado en el periodo/ Total de programas sometidos a registro y/o renovación * 100%</t>
  </si>
  <si>
    <t>Evaluación Docente</t>
  </si>
  <si>
    <t xml:space="preserve">4,5 - 5,0 </t>
  </si>
  <si>
    <t>No. de Estudiantes de pregrado y postgrado que realizaron movilidad internacional entrante y saliente durante el periodo / Total de Estudiantes de pregrado y postgrado.</t>
  </si>
  <si>
    <t>Número de grupos de investigación categorizados en A1, A, B y C  por Colciencias / Total de Grupos de investigación categorizados en  A1, A, B, C y D categorizados por Colciencias</t>
  </si>
  <si>
    <t>Sumatoria del total de la valoración final de las actividades investigativas de los Grupos de Investigación/ Número total de las evaluaciones de las actividades investigativas de los Grupos de Investigación</t>
  </si>
  <si>
    <t>DIRECCIÓN ESTRATÉGICA</t>
  </si>
  <si>
    <t>Sumatoria: (Ponderación del Objetivo 1 de la calidad: ((Indicadores de satisfacción* 60%) + (Indicadores de quejas* 20%) + (Calificaciones del Servicio* 20%))* 40%) + (Objetivo 2 de la calidad: (Indicadores de Acuerdos de servicio) * 30%) + (Objetivo 3 de la calidad: (Indicador de eficacia de los procesos) * 30%)</t>
  </si>
  <si>
    <t>Ponderación:
Objetivo 1 de la calidad: ((Indicadores de satisfacción* 60%) + (Indicadores de quejas* 20%) + (Calificaciones del Servicio* 20%))* 40%
Objetivo 2 de la calidad: (Indicadores de Acuerdos de servicio) * 30%
Objetivo 3 de la calidad: (Indicador de eficacia de los procesos) * 30%</t>
  </si>
  <si>
    <t>Máximo que el 20% de las quejas del semestre sean recurrentes.
(Equivale al 8% del total del Objetivo 1)</t>
  </si>
  <si>
    <t>Cerrar un 90% del total de quejas recibidas en el periodo
(Equivale al 6% del total del Objetivo 1)</t>
  </si>
  <si>
    <t>Responder dentro del tiempo establecido un 80% del total de quejas recibidas en el periodo
(Equivale al 6% del total del Objetivo 1)</t>
  </si>
  <si>
    <t>GESTIÓN DOCUMENTAL (GDO)</t>
  </si>
  <si>
    <t>Presupuesto total ejecutado por Bienestar Universitario / Presupuesto total ejecutado en la Institución*100</t>
  </si>
  <si>
    <t>Número de actividades del Plan Anual de Trabajo ejecutados / Número total de actividades del Plan Anual de Trabajo*100</t>
  </si>
  <si>
    <t>Actividades del cronograma del Sistema de Gestión de la Calidad finalizadas dentro de los tiempos establecidos / Numero total de actividades programadas en el año * 100%</t>
  </si>
  <si>
    <t>(((Valor del total del presupuesto de gastos modificado - Adición de recursos de capital) - valor total del presupuesto de gastos aprobado) / valor total del presupuesto de gastos aprobado) * 100%</t>
  </si>
  <si>
    <t>80% o superior de las personas vinculadas superen el periodo de prueba</t>
  </si>
  <si>
    <t>No. de actividades de auditoría ejecutadas / total de actividades de auditoría planeadas * 100</t>
  </si>
  <si>
    <t>total de No Conformidades solucionadas eficazmente / Total de No Conformidades reportadas * 100%</t>
  </si>
  <si>
    <t>Número de volúmenes disponibles físicos y electrónicos / Número total de alumnos matriculados</t>
  </si>
  <si>
    <t>No. de Docentes de pregrado y postgrado beneficiados con programas de movilidad internacional entrante y saliente / Total de Docentes de pregrado y posgrado de la Facultad con un mínimo de antigüedad de tres años como docente o de medio tiempo o jornada con un mínimo de antigüedad de seis años.</t>
  </si>
  <si>
    <t>(Número total de participantes en los grupos representativos y/o Competitivos*1)+(Número total de participantes en actividades formativas*0,6)+(Número total de participantes en actividades recreativas*0,3) / Numero total de la población de la Comunidad Unilibrista en el Semestre * 100%</t>
  </si>
  <si>
    <t>(Número total de participantes en las grupos representativos en actividades Culturales*1)+(Número total de participantes en actividades culturales formativas*0,6)+(Número total de participantes en actividades culturales recreativas*0,3) / Numero total de la población de la Comunidad Unilibrista en el Semestre * 100%</t>
  </si>
  <si>
    <t>ND</t>
  </si>
  <si>
    <t>Actividades del  Plan de Implementación de Cambios finalizadas dentro de los tiempos establecidos/ Numero total de actividades plan de Implementación de Cambios * 100%</t>
  </si>
  <si>
    <t>No de Acciones implementadas eficazmente en la Gestión del Riesgo / Total  de Acciones formuladas en la Gestión del Riesgo * 100%</t>
  </si>
  <si>
    <t>Gestión de la vinculación con el perfil de formación</t>
  </si>
  <si>
    <t>Número de personas vinculadas con el perfil en Formación/ Total vinculaciones</t>
  </si>
  <si>
    <t>Número de personas vinculadas que cumplieron con el perfil/ Total vinculaciones</t>
  </si>
  <si>
    <t>Gestión de la vinculación con el perfil pero con observaciones</t>
  </si>
  <si>
    <t>Número de personas vinculadas que cumplieron con el perfil pero con observaciones/ Total vinculaciones</t>
  </si>
  <si>
    <t>Número total de correspondencia entregada dentro del tiempo establecido/ No. Total de correspondencia recibida</t>
  </si>
  <si>
    <t>Clases Presenciales y/o Virtuales Realizadas en Pregrado / Clases Presenciales y/o Virtuales  programadas. Facultad Ccias Económicas, admitivas y contables</t>
  </si>
  <si>
    <t>Clases Presenciales y/o Virtuales Realizadas en Pregrado / Clases Presenciales y/o Virtuales  programadas . Facultad  Derecho Ccias Políticas y sociales</t>
  </si>
  <si>
    <t>Clases Presenciales y/o Virtuales Realizadas en Pregrado / Clases Presenciales y/o Virtuales  programadas . Facultad de Ingenierías</t>
  </si>
  <si>
    <t>2020-1</t>
  </si>
  <si>
    <t>2020-2</t>
  </si>
  <si>
    <t>Actividades del plan de formación realizadas anualmente/ total actividades programadas</t>
  </si>
  <si>
    <t xml:space="preserve">
</t>
  </si>
  <si>
    <t>FACCIENCIAS</t>
  </si>
  <si>
    <t>INGENIERIAS</t>
  </si>
  <si>
    <t>DERECHO CPS</t>
  </si>
  <si>
    <t>CCIAS DE LA SALUD</t>
  </si>
  <si>
    <t>FACULTAD</t>
  </si>
  <si>
    <t>docentes con maestria y doctorado</t>
  </si>
  <si>
    <t>Total docentes de la facultad</t>
  </si>
  <si>
    <t>Id 481. Nivel de uso de recursos bibliográficos físicos(externo y sala) Seccional Pereira</t>
  </si>
  <si>
    <t>484 - Nivel de consulta de recursos virtuales de las bases de datos de la Seccional Pereira</t>
  </si>
  <si>
    <t>Número de interacciones virtuales en las Bases de Datos/ total comunidad unilibrista</t>
  </si>
  <si>
    <t>Total de prestamos bibliográficos (externo y en sala/ Total comunidad unilibrista</t>
  </si>
  <si>
    <t>Id 509. Porcentaje de Beneficiados con Recursos (Económicos, Tecnológicos, otros) Seccional Pereira</t>
  </si>
  <si>
    <t>Id 517. Participación de Egresados en Actividades Institucionales y/o Académicas. Sede Pereira</t>
  </si>
  <si>
    <t>Total Egresados que Participan en Actividades Institucionales y/o Académicas/ Total egresados</t>
  </si>
  <si>
    <t>Id 523. Número de Graduados Vinculados en el Mercado Laboral (Mediante la Bolsa de Empleo). Sede Pereira</t>
  </si>
  <si>
    <t xml:space="preserve">Total de Graduados Vinculados Laboralmente Mediante la Bolsa de Empleo/ Total de Graduados Inscritos en la Bolsa de Empleo </t>
  </si>
  <si>
    <t>Id 529. Actualización de Bases de Datos de Egresados. Sede Pereira</t>
  </si>
  <si>
    <t>Total de Egresados que Tienen Actualizada su Información en el Sistema de Egresados/ Total egresados</t>
  </si>
  <si>
    <t>Id 423. Ausentismo por causa médica</t>
  </si>
  <si>
    <t>Número días de ausencia por incapacidad laboral o común en el mes/ Número de días de trabajo programados en el mes</t>
  </si>
  <si>
    <t>Id 419. Frecuencia de accidentalidad</t>
  </si>
  <si>
    <t>Id 420. Severidad de accidentalidad</t>
  </si>
  <si>
    <t>Id 421. Proporción de accidentes de trabajo mortales</t>
  </si>
  <si>
    <t>Id 473. Incidencia de la enfermedad laboral</t>
  </si>
  <si>
    <t>Número de accidentes de trabajo que se presentaron en el mes/ No. De trabajadores en el mes</t>
  </si>
  <si>
    <t xml:space="preserve">((Número de días de incapacidad por accidente de trabajo en el mes (NDIAT)* número de días cargados en el mes (NDCM))/Número de trabajadores en el mes (NTM)*100)
((DIATM.SST+NDC)/NTM.SST)*100
</t>
  </si>
  <si>
    <t>Número de accidentes de trabajo mortales que se presentaron en el año/  otal de accidentes de trabajo que se presentaron en el año</t>
  </si>
  <si>
    <t>Número de casos nuevos de enfermedad laboral en el periodo “Z”/ Promedio de trabajadores en el periodo “Z”</t>
  </si>
  <si>
    <t>Número total de participantes en talleres de promoción socio-económica / Número total de población de la comunidad Unilibrista</t>
  </si>
  <si>
    <t>Número total de beneficiados con recursos (Económicos, Tecnológicos, otros) /Total de la comunidad Unilibrista</t>
  </si>
  <si>
    <t>Id 550. Nivel de eficiencia del Centro de Conciliación. Seccional Pereira</t>
  </si>
  <si>
    <t>Sumatoria de casos atendidos que llegaron a un acuerdos efectivo / Número total de casos atendidos por el Centro de Conciliación
(CJ.CAAE,PE/CJ.TCA.PE)*100</t>
  </si>
  <si>
    <t>Id 587. Nivel de la Demanda de Centro de Conciliación. Seccional Pereira</t>
  </si>
  <si>
    <t>Número total de casos atendidos por el Centro de Conciliación / Numero de casos y servicios presupuestados o esperados para atender por el centro de conciliación
(PS.TCA.PE/PS.CP.PE)*100</t>
  </si>
  <si>
    <t>Id 591. Nivel de Atención oportuna de PQRs realizadas al Centro de Conciliación. Seccional Pereira</t>
  </si>
  <si>
    <t xml:space="preserve">Numero de PQR respondidos en los tiempos establecidos / Número total de PQRS recibidas </t>
  </si>
  <si>
    <t>Id 593. Jornadas de Atención Integral a las Comunidades. Seccional Pereira</t>
  </si>
  <si>
    <t>Id 592. Nivel de Satisfacción con los servicios prestados por el Centro de Conciliación. Seccional Pereira</t>
  </si>
  <si>
    <t>Sumatoria de casos atendidos con nivel de atención Excelente y Buena /Número total de casos atendidos</t>
  </si>
  <si>
    <t>Numero de Jornadas de Atención Integral Desarrolladas en las comunas barrios, municipios etc/  Numero de Jornadas de Atención Integral Desarrolladas en las comunas barrios, municipios etc</t>
  </si>
  <si>
    <t>Id 422. Prevalencia de la enfermedad laboral.</t>
  </si>
  <si>
    <t>Número de casos nuevos y antiguos de enfermedad laboral en el periodo «Z»/ Promedio de trabajadores en el periodo «Z»</t>
  </si>
  <si>
    <r>
      <rPr>
        <b/>
        <sz val="12"/>
        <rFont val="Arial"/>
        <family val="2"/>
      </rPr>
      <t>ID 352</t>
    </r>
    <r>
      <rPr>
        <sz val="12"/>
        <rFont val="Arial"/>
        <family val="2"/>
      </rPr>
      <t xml:space="preserve"> Atención a solicitudes de  mantenimiento correctivo y preventivo de recursos informáticos "C"</t>
    </r>
  </si>
  <si>
    <t>ID 353 Atención a requerimientos audiovisuales (Acuerdo)   "2"</t>
  </si>
  <si>
    <t>ID 354 Verificación del correcto funcionamiento de los equipos de cómputo al servicio de docentes y estudiantes (acuerdo)   "2"</t>
  </si>
  <si>
    <t>ID 308 Asignación de disponibilidad presupuestal (Acuerdo)  "2"  y "3"</t>
  </si>
  <si>
    <r>
      <t>ID 302 Precisión en la elaboración del Presupuesto de</t>
    </r>
    <r>
      <rPr>
        <b/>
        <sz val="11"/>
        <color indexed="10"/>
        <rFont val="Arial"/>
        <family val="2"/>
      </rPr>
      <t xml:space="preserve"> gastos </t>
    </r>
  </si>
  <si>
    <r>
      <t xml:space="preserve">ID 301 Precisión en la elaboración del Presupuesto de </t>
    </r>
    <r>
      <rPr>
        <b/>
        <sz val="10"/>
        <color indexed="10"/>
        <rFont val="Arial"/>
        <family val="2"/>
      </rPr>
      <t>inversión</t>
    </r>
  </si>
  <si>
    <r>
      <t xml:space="preserve">ID 303 Precisión en la elaboración del Presupuesto de </t>
    </r>
    <r>
      <rPr>
        <b/>
        <sz val="10"/>
        <color indexed="10"/>
        <rFont val="Arial"/>
        <family val="2"/>
      </rPr>
      <t xml:space="preserve">ingresos </t>
    </r>
  </si>
  <si>
    <t>Id 143. Oportunidad en la entrega de notas</t>
  </si>
  <si>
    <t>Id 156.  Días promedio para el Trámite de solicitudes  Compras por rango (Acuerdo)  "2"</t>
  </si>
  <si>
    <t>Id 101. Ejecución Plan Anual de Trabajo de Bienestar Universitario Seccional Pereira</t>
  </si>
  <si>
    <t>Id 272. Oportunidad en la inducción</t>
  </si>
  <si>
    <t>Id 103. Participación en acciones deportivas y recreativas Seccional Pereira</t>
  </si>
  <si>
    <t>Id 106. Participación en programas de Salud Seccional Pereira</t>
  </si>
  <si>
    <t>Id 107. Participación en programas Desarrollo Humano Seccional Pereira</t>
  </si>
  <si>
    <t>Id 109. Atención Servicio de Psicología (Acuerdo) Seccional Pereira</t>
  </si>
  <si>
    <t>Id 104. Participación en acciones culturales Seccional Pereira</t>
  </si>
  <si>
    <t xml:space="preserve">Id 502. Participación en acciones de promoción socio-económica de la Seccional Pereira </t>
  </si>
  <si>
    <t>Id 102. Ejecución presupuestal de Bienestar Universitario Seccional Pereira</t>
  </si>
  <si>
    <t>Id 630. Participación de Egresados en Actividades de Bienestar. Seccional Pereira</t>
  </si>
  <si>
    <t>Total de Egresados que Participan en Actividades de Bienestar Universitario/ Total de Egresados</t>
  </si>
  <si>
    <t>Id192. Cumplimiento del Cronograma de transferencias documentales</t>
  </si>
  <si>
    <t>ID 193: Servicio de búsqueda y préstamo de Documentos (acuerdo)  "2"</t>
  </si>
  <si>
    <t>Id 383. Servicio de correspondencia (acuerdo de servicio)</t>
  </si>
  <si>
    <t>Anual (2022)</t>
  </si>
  <si>
    <t>Id 157. Oportunidad en la entrega Seccional Pereira</t>
  </si>
  <si>
    <t>Id 168. Cumplimiento (esta relacionado con el grado de consecución de tareas y/o actividades de la auditoría Interna) Seccional Pereira</t>
  </si>
  <si>
    <t>Id 642. Aprobación de Documentos en el SIC dentro de los tiempos establecidos por el SIG.</t>
  </si>
  <si>
    <t>Número de Documentos Aprobados dentro de los tiempos establecidos en el Sistema SIC/  Número total de solicitudes de cambio recibidas.</t>
  </si>
  <si>
    <t>Id 306. Días Promedio para el Trámite de Cuentas Radicadas (Acuerdo) Seccional Pereira</t>
  </si>
  <si>
    <t>Id 307. Días Promedio Para El Trámite de Cuentas Causadas y/o Registradas (Acuerdo). Seccional Pereira</t>
  </si>
  <si>
    <t>Id 432. Días Promedio Para el Trámite De Cuentas Giradas y/o Pagadas (Acuerdo). Seccional Pereira</t>
  </si>
  <si>
    <t>Número de cuentas giradas y/o pagadas dentro de los plazos establecidos en el acuerdo de servicio / Total de cuentas recibidas  en el mes</t>
  </si>
  <si>
    <t xml:space="preserve">Id 305.Eficacia del recaudo en los creditos directos </t>
  </si>
  <si>
    <t>Id 304. Eficacia del recaudo  en los créditos a través de entidades financieras</t>
  </si>
  <si>
    <t>Id 300. Oportunidad en entrega de estados financieros Seccional Seccional Pereira</t>
  </si>
  <si>
    <t>Id 230. Expedición de certificaciones laborales Físicas (Acuerdo) Seccional Pereira</t>
  </si>
  <si>
    <t>Id 233. Gestión de la Vinculación Administrativa. Seccional Pereira</t>
  </si>
  <si>
    <t>Sin análisis</t>
  </si>
  <si>
    <t>Id 234. Evaluación del desempeño (Seccional Pereira)</t>
  </si>
  <si>
    <t>Id 235. Cumplimiento del Plan de Formación para Administrativos. Seccional Pereira</t>
  </si>
  <si>
    <t>Id 614. Porcentaje de Ejecución del Presupuesto de Capacitación del Personal Administrativo. Seccional Pereira</t>
  </si>
  <si>
    <t>valor total del presupuesto ejecutado= valor total del presupuesto asignado</t>
  </si>
  <si>
    <t>Id 621. Porcentaje de Participación del Personal Administrativo en el Plan de Capacitaciones. Seccional Pereira</t>
  </si>
  <si>
    <t>Total del personal administrativo que participó por cada actividad/ Total de participantes administrativos convocados para la capacitación</t>
  </si>
  <si>
    <t>Id 628. Nivel de Satisfacción de las Capacitaciones Realizadas. Seccional Pereira</t>
  </si>
  <si>
    <t>Número de capitaciones evaluadas satisfactoriamente/ Total personal capacitado</t>
  </si>
  <si>
    <t xml:space="preserve"> 31802.72</t>
  </si>
  <si>
    <t>Numero total de población de la comunidad Unilibrista en semestre/ Número total de asistentes en programas de salud durante el semestre</t>
  </si>
  <si>
    <t>Número total de asistentes en programas de Desarrollo Humano durante el semestre / Numero total de población de la comunidad Unilibrista en semestre</t>
  </si>
  <si>
    <t>Id 407. Evaluación cumplimiento actividades de los grupos de investigación de la Sede Pereira</t>
  </si>
  <si>
    <t>ID 366:  Grupos de investigación reconocidos y Escalafonados por Colciencias de la Seccional Pereira</t>
  </si>
  <si>
    <t>Id 417. Porcentaje de docentes con Doctorado y/o Maestría Seccional Pereira</t>
  </si>
  <si>
    <r>
      <rPr>
        <b/>
        <sz val="12"/>
        <rFont val="Arial"/>
        <family val="2"/>
      </rPr>
      <t>ID64</t>
    </r>
    <r>
      <rPr>
        <sz val="10"/>
        <rFont val="Arial"/>
        <family val="2"/>
      </rPr>
      <t>:  Promedio evaluación Docente de la Facultad Ccias Económicas, administrativas y contables</t>
    </r>
  </si>
  <si>
    <r>
      <rPr>
        <b/>
        <sz val="12"/>
        <rFont val="Arial"/>
        <family val="2"/>
      </rPr>
      <t>ID65</t>
    </r>
    <r>
      <rPr>
        <sz val="10"/>
        <rFont val="Arial"/>
        <family val="2"/>
      </rPr>
      <t>: Promedio evaluación Docente de la Facultad de Ingenierías</t>
    </r>
  </si>
  <si>
    <r>
      <rPr>
        <b/>
        <sz val="10"/>
        <rFont val="Arial"/>
        <family val="2"/>
      </rPr>
      <t xml:space="preserve">ID67:  </t>
    </r>
    <r>
      <rPr>
        <sz val="10"/>
        <rFont val="Arial"/>
        <family val="2"/>
      </rPr>
      <t>Promedio evaluación Docente de la Facultad Ccias de la salud Exactas y naturales</t>
    </r>
  </si>
  <si>
    <t>Id 537. Eficiencia en la Asignación de Prácticas Empresariales. Seccional Pereira</t>
  </si>
  <si>
    <t>Número total de Prácticas Empresariales Asignadas en el Semestre/ Número Total de Solicitudes Recibidas para Asignación de Prácticas.</t>
  </si>
  <si>
    <t>Clases Presenciales y/o Virtuales Realizadas en Pregrado / Clases Presenciales y/o Virtuales  programadas en la Facultad de Ciencias de la Salud Exactas y Naturales</t>
  </si>
  <si>
    <t>Id 441. Cumplimiento de Clases Presenciales y/o Virtuales Programadas en Pregrado Seccional Pereira</t>
  </si>
  <si>
    <t>Id 570. Programa de Educación Continua Ofertados (diplomados, foros, cursos, talleres, congresos, seminarios, simposios, conferencias, entre otros). Seccional Pereira</t>
  </si>
  <si>
    <t>Numero de Programas de Educación Continuada en Desarrollo Y/o Ejecutados/  Numero Total de Programas de Educación Continuadas</t>
  </si>
  <si>
    <t>ID 1 Cumplimiento en el programa de Actividades</t>
  </si>
  <si>
    <t>ID 5 Quejas recurrentes por proceso</t>
  </si>
  <si>
    <t>ID 6 Quejas cerradas  en el período</t>
  </si>
  <si>
    <t>ID 7 Quejas respondidas dentro del tiempo establecido</t>
  </si>
  <si>
    <t>ID 8 Eficacia de la acciones correctivas implementadas</t>
  </si>
  <si>
    <t>ID 3  Cumplimiento al plan de implementación del cambio</t>
  </si>
  <si>
    <t>ID 4 Eficacia de las acciones de Gestión del Riesgo</t>
  </si>
  <si>
    <t>Id 364. Evaluación del Desempeño del Estudiante de Práctica Empresarial. Seccional Pereira</t>
  </si>
  <si>
    <t>Sumatoria de la calificación de la encuesta de satisfacción de las entidades en las cuales se desarrollan las practicas empresariales/  Número total de calificaciones recibidas en el semestre de las entidades</t>
  </si>
  <si>
    <t>4.5</t>
  </si>
  <si>
    <r>
      <rPr>
        <b/>
        <sz val="12"/>
        <rFont val="Arial"/>
        <family val="2"/>
      </rPr>
      <t>ID66</t>
    </r>
    <r>
      <rPr>
        <sz val="10"/>
        <rFont val="Arial"/>
        <family val="2"/>
      </rPr>
      <t>:  Promedio evaluación Docente de la Facultad  Derecho Ccias Políticas y sociales</t>
    </r>
  </si>
  <si>
    <t>ID 380  Servicio de mantenimiento (Acuerdo) 2 y 3</t>
  </si>
  <si>
    <t xml:space="preserve">ID 381 Ejecuciòn del plan de acciòn </t>
  </si>
  <si>
    <r>
      <t xml:space="preserve">ID 382:  Nivel de satisfacción en los servicios </t>
    </r>
    <r>
      <rPr>
        <b/>
        <sz val="10"/>
        <color rgb="FFFF0000"/>
        <rFont val="Arial"/>
        <family val="2"/>
      </rPr>
      <t>de mantenimiento</t>
    </r>
    <r>
      <rPr>
        <b/>
        <sz val="10"/>
        <rFont val="Arial"/>
        <family val="2"/>
      </rPr>
      <t xml:space="preserve"> prestados</t>
    </r>
  </si>
  <si>
    <t>Id 558. Porcentaje de empresas con Seguimiento (Virtual y/o Presencial) en Prácticas Empresariales. Seccional Pereira</t>
  </si>
  <si>
    <t>Total de empresas con Seguimiento (Virtual y/o Presencial), por parte del Docente Monitor, en Prácticas Empresariales. /  Total de empresas a visitar en el semestre</t>
  </si>
  <si>
    <t>ID 355: Incidentes atendidos a los equipos de computo al servicio de docentes y estudiantes (Acuerdo) 2</t>
  </si>
  <si>
    <r>
      <rPr>
        <b/>
        <sz val="12"/>
        <rFont val="Arial"/>
        <family val="2"/>
      </rPr>
      <t xml:space="preserve">ID395 </t>
    </r>
    <r>
      <rPr>
        <sz val="12"/>
        <rFont val="Arial"/>
        <family val="2"/>
      </rPr>
      <t>Programas Acreditados</t>
    </r>
  </si>
  <si>
    <r>
      <rPr>
        <b/>
        <sz val="12"/>
        <rFont val="Arial"/>
        <family val="2"/>
      </rPr>
      <t xml:space="preserve">ID389 </t>
    </r>
    <r>
      <rPr>
        <sz val="12"/>
        <rFont val="Arial"/>
        <family val="2"/>
      </rPr>
      <t>Porcentaje de Programas que obtienen Registro Calificado</t>
    </r>
  </si>
  <si>
    <r>
      <rPr>
        <b/>
        <sz val="12"/>
        <rFont val="Arial"/>
        <family val="2"/>
      </rPr>
      <t>ID 32</t>
    </r>
    <r>
      <rPr>
        <sz val="12"/>
        <rFont val="Arial"/>
        <family val="2"/>
      </rPr>
      <t xml:space="preserve">  Movilidad docente</t>
    </r>
  </si>
  <si>
    <r>
      <rPr>
        <b/>
        <sz val="12"/>
        <rFont val="Arial"/>
        <family val="2"/>
      </rPr>
      <t>ID 33</t>
    </r>
    <r>
      <rPr>
        <sz val="12"/>
        <rFont val="Arial"/>
        <family val="2"/>
      </rPr>
      <t>. Movilidad Estudiantil</t>
    </r>
  </si>
  <si>
    <t>#</t>
  </si>
  <si>
    <t>Resultado 2022</t>
  </si>
  <si>
    <t>X</t>
  </si>
  <si>
    <t>97,96%</t>
  </si>
  <si>
    <t>80,56%</t>
  </si>
  <si>
    <t>Id 417 No. de docentes con mayor nivel de formación con Doctorado y Maestría / Total docentes de la facultad de Ciencias de la Salud Exactas y Naturales</t>
  </si>
  <si>
    <t>Id 417 No. de docentes con mayor nivel de formación con Doctorado y Maestría / Total docentes de la facultad de Ciencias Económicas, administrativas y contables</t>
  </si>
  <si>
    <t>Id 417 No. de docentes con mayor nivel de formación con Doctorado y Maestría / Total docentes de la facultad de Derecho Ciencias Políticas y sociales</t>
  </si>
  <si>
    <t>Id 417  No. de docentes con mayor nivel de formación con Doctorado y Maestría / Total docentes de la facultad de Ingenierías</t>
  </si>
  <si>
    <t>ID 442  Eficacia del SGC</t>
  </si>
  <si>
    <r>
      <rPr>
        <b/>
        <sz val="10"/>
        <color rgb="FFFF0000"/>
        <rFont val="Arial"/>
        <family val="2"/>
      </rPr>
      <t xml:space="preserve">ID 735 </t>
    </r>
    <r>
      <rPr>
        <b/>
        <sz val="10"/>
        <rFont val="Arial"/>
        <family val="2"/>
      </rPr>
      <t xml:space="preserve">Indice de crecimiento en el número de títulos adquiridos . </t>
    </r>
    <r>
      <rPr>
        <b/>
        <sz val="10"/>
        <color rgb="FFFF0000"/>
        <rFont val="Arial"/>
        <family val="2"/>
      </rPr>
      <t>Seccional Pereira</t>
    </r>
    <r>
      <rPr>
        <b/>
        <sz val="10"/>
        <rFont val="Arial"/>
        <family val="2"/>
      </rPr>
      <t xml:space="preserve">(AS)   
</t>
    </r>
  </si>
  <si>
    <t xml:space="preserve">ID 169: Días promedio para el trámite de cuentas por pagar
(Acuerdo) </t>
  </si>
  <si>
    <t>Id 142. Elaboración y entrega oportuna de las certificaciones y constancias académicas (Acuerdo)</t>
  </si>
  <si>
    <t xml:space="preserve">Id 141.Confiabilidad en la información de los certificados (AS)  </t>
  </si>
  <si>
    <t xml:space="preserve">Id 274. Proporción de volúmenes por alumno (AS)   </t>
  </si>
  <si>
    <t xml:space="preserve">Id 271. Pérdida del material bibliográfico
</t>
  </si>
  <si>
    <t xml:space="preserve">Id 108.  Atención médica y/o primaria en Enfermería (Acuerdo)  </t>
  </si>
  <si>
    <t>No. de Títulos Físicos y Electrónicos Adquiridos - Periodo Anterior / No. de Títulos Físicos y Electrónicos Adquiridos- Periodo Actual</t>
  </si>
  <si>
    <t>Id 741. Satisfacción de la comunidad Unilibrista frente a la calidad de los servicios prestados.</t>
  </si>
  <si>
    <t>((((STS/NE)*60)+((NQA/NQE)*20)+((SCS/NCS)*20)))
*Sumatoria total de la encuesta de satisfacción (1 a 5)
*Numero de encuestados
*Número de quejas atendidas de manera eficiente (quejas recurrentes, cerradas y respuestas generadas oportunamente).
* Número total de quejas recibidas en el periodo
* Sumatoria total de la calificación del servicio (1 a 5)
* Numero de calificaciones del servicio aplicadas a los procesos.</t>
  </si>
  <si>
    <t>Id 742. Cumplimiento de los acuerdos de servicio</t>
  </si>
  <si>
    <t>* Cumplimiento con la meta establecida en el acuerdo mensual
* Numero de acuerdos de Servicios mensuales
* Cumplimiento con la meta establecida en el acuerdo trimestral
* Numero de acuerdos de Servicios trimestrales
* Cumplimiento con la meta establecida en el acuerdo semestral
* Numero de acuerdos de Servicios semestral
* Cumplimiento con la meta establecida en el acuerdo anual 
* Numero de acuerdos de Servicios anuales</t>
  </si>
  <si>
    <t>Id 743. Cumplimiento de metas de los indicadores de eficiencia y eficacia</t>
  </si>
  <si>
    <t>* Numero de indicadores de eficacia que cumplieron la meta
* Numero total de indicadores de eficacia
*  Numero de indicadores de eficiencia que cumplieron la meta
*  Numero total de indicadores de eficiencia
*  Numero de indicadores de productividad que cumplieron la meta
*  Numero total de indicadores de productividad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</si>
</sst>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164" formatCode="_-* #,##0.00\ &quot;€&quot;_-;\-* #,##0.00\ &quot;€&quot;_-;_-* &quot;-&quot;??\ &quot;€&quot;_-;_-@_-"/>
    <numFmt numFmtId="165" formatCode="0.0%"/>
    <numFmt numFmtId="166" formatCode="_ * #,##0_ ;_ * \-#,##0_ ;_ * &quot;-&quot;??_ ;_ @_ "/>
    <numFmt numFmtId="167" formatCode="_ * #,##0.00_ ;_ * \-#,##0.00_ ;_ * &quot;-&quot;??_ ;_ @_ "/>
    <numFmt numFmtId="168" formatCode="0.0"/>
    <numFmt numFmtId="169" formatCode="_-* #,##0_-;\-* #,##0_-;_-* &quot;-&quot;??_-;_-@_-"/>
    <numFmt numFmtId="170" formatCode="_-* #,##0.00_-;\-* #,##0.00_-;_-* &quot;-&quot;_-;_-@_-"/>
    <numFmt numFmtId="171" formatCode="0.0000%"/>
    <numFmt numFmtId="172" formatCode="_-* #,##0.000_-;\-* #,##0.000_-;_-* &quot;-&quot;_-;_-@_-"/>
    <numFmt numFmtId="173" formatCode="_-* #,##0.000000_-;\-* #,##0.000000_-;_-* &quot;-&quot;_-;_-@_-"/>
  </numFmts>
  <fonts count="5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color indexed="12"/>
      <name val="Arial"/>
      <family val="2"/>
    </font>
    <font>
      <b/>
      <sz val="12"/>
      <color indexed="12"/>
      <name val="Arial"/>
      <family val="2"/>
    </font>
    <font>
      <sz val="12"/>
      <name val="Arial"/>
      <family val="2"/>
    </font>
    <font>
      <b/>
      <sz val="14"/>
      <name val="Arial"/>
      <family val="2"/>
    </font>
    <font>
      <b/>
      <sz val="12"/>
      <name val="Arial"/>
      <family val="2"/>
    </font>
    <font>
      <b/>
      <sz val="8"/>
      <name val="Arial"/>
      <family val="2"/>
    </font>
    <font>
      <sz val="8"/>
      <name val="Arial"/>
      <family val="2"/>
    </font>
    <font>
      <b/>
      <sz val="11"/>
      <name val="Arial"/>
      <family val="2"/>
    </font>
    <font>
      <sz val="11"/>
      <name val="Arial"/>
      <family val="2"/>
    </font>
    <font>
      <sz val="14"/>
      <name val="Arial"/>
      <family val="2"/>
    </font>
    <font>
      <b/>
      <sz val="11"/>
      <color indexed="12"/>
      <name val="Arial"/>
      <family val="2"/>
    </font>
    <font>
      <sz val="9"/>
      <name val="Arial"/>
      <family val="2"/>
    </font>
    <font>
      <b/>
      <sz val="10"/>
      <color indexed="10"/>
      <name val="Arial"/>
      <family val="2"/>
    </font>
    <font>
      <b/>
      <sz val="11"/>
      <color indexed="10"/>
      <name val="Arial"/>
      <family val="2"/>
    </font>
    <font>
      <sz val="6"/>
      <name val="Arial"/>
      <family val="2"/>
    </font>
    <font>
      <b/>
      <sz val="16"/>
      <name val="Arial"/>
      <family val="2"/>
    </font>
    <font>
      <sz val="10"/>
      <name val="Arial"/>
      <family val="2"/>
    </font>
    <font>
      <b/>
      <sz val="10"/>
      <color rgb="FFFF0000"/>
      <name val="Arial"/>
      <family val="2"/>
    </font>
    <font>
      <b/>
      <sz val="9"/>
      <name val="Arial"/>
      <family val="2"/>
    </font>
    <font>
      <sz val="8"/>
      <color indexed="81"/>
      <name val="Tahoma"/>
      <family val="2"/>
    </font>
    <font>
      <b/>
      <sz val="12"/>
      <color indexed="81"/>
      <name val="Tahoma"/>
      <family val="2"/>
    </font>
    <font>
      <sz val="12"/>
      <color indexed="81"/>
      <name val="Tahoma"/>
      <family val="2"/>
    </font>
    <font>
      <sz val="10"/>
      <color rgb="FFFF0000"/>
      <name val="Arial"/>
      <family val="2"/>
    </font>
    <font>
      <sz val="20"/>
      <name val="Arial"/>
      <family val="2"/>
    </font>
    <font>
      <sz val="18"/>
      <name val="Arial"/>
      <family val="2"/>
    </font>
    <font>
      <sz val="16"/>
      <name val="Arial"/>
      <family val="2"/>
    </font>
    <font>
      <sz val="12"/>
      <color rgb="FFFF0000"/>
      <name val="Arial"/>
      <family val="2"/>
    </font>
    <font>
      <b/>
      <sz val="12"/>
      <color rgb="FF0000FF"/>
      <name val="Arial"/>
      <family val="2"/>
    </font>
    <font>
      <sz val="10"/>
      <color theme="1"/>
      <name val="Arial"/>
      <family val="2"/>
    </font>
    <font>
      <sz val="9"/>
      <color indexed="81"/>
      <name val="Tahoma"/>
      <family val="2"/>
    </font>
    <font>
      <b/>
      <sz val="9"/>
      <color indexed="81"/>
      <name val="Tahoma"/>
      <family val="2"/>
    </font>
    <font>
      <b/>
      <sz val="11"/>
      <color rgb="FF0000FF"/>
      <name val="Arial"/>
      <family val="2"/>
    </font>
    <font>
      <b/>
      <sz val="12"/>
      <color rgb="FFFF0000"/>
      <name val="Arial"/>
      <family val="2"/>
    </font>
    <font>
      <sz val="11"/>
      <color rgb="FFFF0000"/>
      <name val="Arial"/>
      <family val="2"/>
    </font>
    <font>
      <sz val="22"/>
      <name val="Arial"/>
      <family val="2"/>
    </font>
    <font>
      <b/>
      <sz val="11"/>
      <color rgb="FFFF0000"/>
      <name val="Arial"/>
      <family val="2"/>
    </font>
    <font>
      <sz val="12"/>
      <color rgb="FF0000FF"/>
      <name val="Arial"/>
      <family val="2"/>
    </font>
    <font>
      <b/>
      <sz val="14"/>
      <color rgb="FF0000FF"/>
      <name val="Arial"/>
      <family val="2"/>
    </font>
    <font>
      <sz val="7"/>
      <color theme="1"/>
      <name val="Arial"/>
      <family val="2"/>
    </font>
    <font>
      <sz val="7"/>
      <color indexed="81"/>
      <name val="Tahoma"/>
      <family val="2"/>
    </font>
    <font>
      <b/>
      <sz val="10"/>
      <color rgb="FF0000FF"/>
      <name val="Arial"/>
      <family val="2"/>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7"/>
        <bgColor indexed="64"/>
      </patternFill>
    </fill>
    <fill>
      <patternFill patternType="solid">
        <fgColor indexed="50"/>
        <bgColor indexed="64"/>
      </patternFill>
    </fill>
    <fill>
      <patternFill patternType="solid">
        <fgColor theme="0"/>
        <bgColor indexed="64"/>
      </patternFill>
    </fill>
    <fill>
      <patternFill patternType="solid">
        <fgColor indexed="11"/>
        <bgColor indexed="64"/>
      </patternFill>
    </fill>
    <fill>
      <patternFill patternType="solid">
        <fgColor indexed="49"/>
        <bgColor indexed="64"/>
      </patternFill>
    </fill>
    <fill>
      <patternFill patternType="solid">
        <fgColor rgb="FFFFC000"/>
        <bgColor indexed="64"/>
      </patternFill>
    </fill>
    <fill>
      <patternFill patternType="solid">
        <fgColor rgb="FFFFFF00"/>
        <bgColor indexed="64"/>
      </patternFill>
    </fill>
    <fill>
      <patternFill patternType="solid">
        <fgColor indexed="6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CCFF"/>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7"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35">
    <xf numFmtId="0" fontId="0" fillId="0" borderId="0"/>
    <xf numFmtId="0" fontId="7" fillId="0" borderId="0"/>
    <xf numFmtId="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0" fontId="25" fillId="0" borderId="0"/>
    <xf numFmtId="9" fontId="25" fillId="0" borderId="0" applyFont="0" applyFill="0" applyBorder="0" applyAlignment="0" applyProtection="0"/>
    <xf numFmtId="0" fontId="25" fillId="0" borderId="0" applyFont="0" applyFill="0" applyBorder="0" applyAlignment="0" applyProtection="0"/>
    <xf numFmtId="0" fontId="7" fillId="0" borderId="0" applyFont="0" applyFill="0" applyBorder="0" applyAlignment="0" applyProtection="0"/>
    <xf numFmtId="0"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0" fontId="7" fillId="0" borderId="0"/>
    <xf numFmtId="0" fontId="7"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6" fillId="0" borderId="0"/>
    <xf numFmtId="0" fontId="5" fillId="0" borderId="0"/>
    <xf numFmtId="0" fontId="4" fillId="0" borderId="0"/>
    <xf numFmtId="0" fontId="7" fillId="0" borderId="0" applyNumberFormat="0" applyFont="0" applyFill="0" applyBorder="0" applyAlignment="0" applyProtection="0">
      <alignment vertical="top"/>
    </xf>
    <xf numFmtId="9" fontId="4" fillId="0" borderId="0" applyFont="0" applyFill="0" applyBorder="0" applyAlignment="0" applyProtection="0"/>
    <xf numFmtId="0" fontId="3" fillId="0" borderId="0"/>
    <xf numFmtId="9" fontId="7" fillId="0" borderId="0" applyFont="0" applyFill="0" applyBorder="0" applyAlignment="0" applyProtection="0"/>
    <xf numFmtId="41" fontId="37" fillId="0" borderId="0" applyFont="0" applyFill="0" applyBorder="0" applyAlignment="0" applyProtection="0"/>
    <xf numFmtId="9" fontId="7" fillId="0" borderId="0" applyFont="0" applyFill="0" applyBorder="0" applyAlignment="0" applyProtection="0"/>
    <xf numFmtId="0" fontId="7" fillId="0" borderId="0" applyFont="0" applyFill="0" applyBorder="0" applyAlignment="0" applyProtection="0"/>
    <xf numFmtId="169" fontId="7"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0" fontId="1" fillId="0" borderId="0"/>
  </cellStyleXfs>
  <cellXfs count="415">
    <xf numFmtId="0" fontId="0" fillId="0" borderId="0" xfId="0"/>
    <xf numFmtId="0" fontId="7" fillId="0" borderId="0" xfId="1" applyAlignment="1">
      <alignment vertical="center"/>
    </xf>
    <xf numFmtId="165" fontId="7" fillId="0" borderId="5" xfId="1" applyNumberFormat="1" applyBorder="1" applyAlignment="1">
      <alignment horizontal="center" vertical="center" wrapText="1"/>
    </xf>
    <xf numFmtId="0" fontId="7" fillId="0" borderId="1" xfId="1" applyBorder="1" applyAlignment="1">
      <alignment horizontal="center" vertical="center" wrapText="1"/>
    </xf>
    <xf numFmtId="0" fontId="7" fillId="0" borderId="1" xfId="1" applyBorder="1" applyAlignment="1">
      <alignment vertical="center"/>
    </xf>
    <xf numFmtId="0" fontId="7" fillId="0" borderId="7" xfId="1" applyBorder="1" applyAlignment="1">
      <alignment horizontal="center" vertical="center" wrapText="1"/>
    </xf>
    <xf numFmtId="0" fontId="7" fillId="0" borderId="10" xfId="1" applyBorder="1" applyAlignment="1">
      <alignment horizontal="center" vertical="center" wrapText="1"/>
    </xf>
    <xf numFmtId="0" fontId="7" fillId="0" borderId="13" xfId="1" applyBorder="1" applyAlignment="1">
      <alignment horizontal="center" vertical="center" wrapText="1"/>
    </xf>
    <xf numFmtId="0" fontId="7" fillId="0" borderId="0" xfId="1" applyAlignment="1">
      <alignment horizontal="justify" vertical="center"/>
    </xf>
    <xf numFmtId="0" fontId="7" fillId="0" borderId="0" xfId="1" applyAlignment="1">
      <alignment horizontal="center" vertical="center" wrapText="1"/>
    </xf>
    <xf numFmtId="0" fontId="23" fillId="0" borderId="0" xfId="1" applyFont="1" applyAlignment="1">
      <alignment horizontal="center" vertical="center" wrapText="1"/>
    </xf>
    <xf numFmtId="0" fontId="23" fillId="0" borderId="0" xfId="1" applyFont="1" applyAlignment="1">
      <alignment vertical="center"/>
    </xf>
    <xf numFmtId="166" fontId="7" fillId="0" borderId="1" xfId="16" applyNumberFormat="1" applyFont="1" applyBorder="1" applyAlignment="1">
      <alignment horizontal="center" vertical="center" wrapText="1"/>
    </xf>
    <xf numFmtId="0" fontId="7" fillId="3" borderId="0" xfId="1" applyFill="1" applyAlignment="1">
      <alignment horizontal="justify" vertical="center"/>
    </xf>
    <xf numFmtId="0" fontId="17" fillId="6" borderId="13" xfId="1" applyFont="1" applyFill="1" applyBorder="1" applyAlignment="1">
      <alignment horizontal="justify" vertical="center" wrapText="1"/>
    </xf>
    <xf numFmtId="0" fontId="9" fillId="3" borderId="10" xfId="1" applyFont="1" applyFill="1" applyBorder="1" applyAlignment="1">
      <alignment horizontal="justify" vertical="center" wrapText="1"/>
    </xf>
    <xf numFmtId="0" fontId="7" fillId="0" borderId="32" xfId="1" applyBorder="1" applyAlignment="1">
      <alignment horizontal="center" vertical="center" wrapText="1"/>
    </xf>
    <xf numFmtId="0" fontId="7" fillId="0" borderId="28" xfId="1" applyBorder="1" applyAlignment="1">
      <alignment horizontal="center" vertical="center" wrapText="1"/>
    </xf>
    <xf numFmtId="0" fontId="7" fillId="0" borderId="28" xfId="1" applyBorder="1" applyAlignment="1">
      <alignment vertical="center"/>
    </xf>
    <xf numFmtId="166" fontId="7" fillId="0" borderId="28" xfId="16" applyNumberFormat="1" applyFont="1" applyBorder="1" applyAlignment="1">
      <alignment horizontal="center" vertical="center" wrapText="1"/>
    </xf>
    <xf numFmtId="0" fontId="7" fillId="0" borderId="33" xfId="1" applyBorder="1" applyAlignment="1">
      <alignment horizontal="center" vertical="center" wrapText="1"/>
    </xf>
    <xf numFmtId="0" fontId="7" fillId="0" borderId="31" xfId="1" applyBorder="1" applyAlignment="1">
      <alignment horizontal="center" vertical="center" wrapText="1"/>
    </xf>
    <xf numFmtId="0" fontId="7" fillId="0" borderId="31" xfId="1" applyBorder="1" applyAlignment="1">
      <alignment vertical="center"/>
    </xf>
    <xf numFmtId="166" fontId="7" fillId="0" borderId="31" xfId="16" applyNumberFormat="1" applyFont="1" applyBorder="1" applyAlignment="1">
      <alignment horizontal="center" vertical="center" wrapText="1"/>
    </xf>
    <xf numFmtId="0" fontId="11" fillId="6" borderId="28" xfId="1" applyFont="1" applyFill="1" applyBorder="1" applyAlignment="1">
      <alignment horizontal="justify" vertical="center" wrapText="1"/>
    </xf>
    <xf numFmtId="10" fontId="14" fillId="6" borderId="28" xfId="1" applyNumberFormat="1" applyFont="1" applyFill="1" applyBorder="1" applyAlignment="1">
      <alignment horizontal="center" vertical="center" wrapText="1"/>
    </xf>
    <xf numFmtId="0" fontId="15" fillId="0" borderId="0" xfId="1" applyFont="1" applyAlignment="1">
      <alignment horizontal="center" vertical="center" wrapText="1"/>
    </xf>
    <xf numFmtId="0" fontId="15" fillId="0" borderId="0" xfId="1" applyFont="1" applyAlignment="1">
      <alignment vertical="center"/>
    </xf>
    <xf numFmtId="0" fontId="11" fillId="3" borderId="28" xfId="1" applyFont="1" applyFill="1" applyBorder="1" applyAlignment="1">
      <alignment horizontal="justify" vertical="center" wrapText="1"/>
    </xf>
    <xf numFmtId="10" fontId="8" fillId="6" borderId="10" xfId="1" applyNumberFormat="1" applyFont="1" applyFill="1" applyBorder="1" applyAlignment="1">
      <alignment horizontal="center" vertical="center"/>
    </xf>
    <xf numFmtId="10" fontId="7" fillId="0" borderId="28" xfId="1" applyNumberFormat="1" applyBorder="1" applyAlignment="1">
      <alignment horizontal="center" vertical="center" wrapText="1"/>
    </xf>
    <xf numFmtId="2" fontId="7" fillId="0" borderId="0" xfId="1" applyNumberFormat="1" applyAlignment="1">
      <alignment vertical="center"/>
    </xf>
    <xf numFmtId="9" fontId="7" fillId="0" borderId="0" xfId="17" applyFont="1" applyAlignment="1">
      <alignment vertical="center"/>
    </xf>
    <xf numFmtId="0" fontId="18" fillId="0" borderId="0" xfId="1" applyFont="1" applyAlignment="1">
      <alignment vertical="center"/>
    </xf>
    <xf numFmtId="0" fontId="34" fillId="0" borderId="0" xfId="1" applyFont="1" applyAlignment="1">
      <alignment vertical="center"/>
    </xf>
    <xf numFmtId="0" fontId="18" fillId="0" borderId="28" xfId="1" applyFont="1" applyBorder="1" applyAlignment="1">
      <alignment horizontal="center" vertical="center"/>
    </xf>
    <xf numFmtId="0" fontId="34" fillId="0" borderId="28" xfId="1" applyFont="1" applyBorder="1" applyAlignment="1">
      <alignment horizontal="center" vertical="center"/>
    </xf>
    <xf numFmtId="0" fontId="7" fillId="0" borderId="34" xfId="1" applyBorder="1" applyAlignment="1">
      <alignment horizontal="justify" vertical="center"/>
    </xf>
    <xf numFmtId="0" fontId="7" fillId="0" borderId="28" xfId="1" applyBorder="1" applyAlignment="1">
      <alignment horizontal="justify" vertical="center"/>
    </xf>
    <xf numFmtId="0" fontId="8" fillId="0" borderId="28" xfId="1" applyFont="1" applyBorder="1" applyAlignment="1">
      <alignment vertical="center"/>
    </xf>
    <xf numFmtId="0" fontId="7" fillId="0" borderId="20" xfId="1" applyBorder="1" applyAlignment="1">
      <alignment horizontal="center" vertical="center" wrapText="1"/>
    </xf>
    <xf numFmtId="0" fontId="7" fillId="0" borderId="3" xfId="1" applyBorder="1" applyAlignment="1">
      <alignment horizontal="center" vertical="center" wrapText="1"/>
    </xf>
    <xf numFmtId="0" fontId="7" fillId="0" borderId="32" xfId="1" applyBorder="1" applyAlignment="1">
      <alignment vertical="center"/>
    </xf>
    <xf numFmtId="0" fontId="35" fillId="3" borderId="28" xfId="1" applyFont="1" applyFill="1" applyBorder="1" applyAlignment="1">
      <alignment horizontal="justify" vertical="center" wrapText="1"/>
    </xf>
    <xf numFmtId="0" fontId="16" fillId="6" borderId="28" xfId="1" applyFont="1" applyFill="1" applyBorder="1" applyAlignment="1">
      <alignment horizontal="justify" vertical="center" wrapText="1"/>
    </xf>
    <xf numFmtId="0" fontId="19" fillId="6" borderId="28" xfId="1" applyFont="1" applyFill="1" applyBorder="1" applyAlignment="1">
      <alignment horizontal="justify" vertical="center" wrapText="1"/>
    </xf>
    <xf numFmtId="0" fontId="40" fillId="6" borderId="28" xfId="1" applyFont="1" applyFill="1" applyBorder="1" applyAlignment="1">
      <alignment horizontal="justify" vertical="center" wrapText="1"/>
    </xf>
    <xf numFmtId="9" fontId="15" fillId="7" borderId="28" xfId="1" applyNumberFormat="1" applyFont="1" applyFill="1" applyBorder="1" applyAlignment="1">
      <alignment horizontal="center" vertical="center" wrapText="1"/>
    </xf>
    <xf numFmtId="0" fontId="8" fillId="6" borderId="28" xfId="1" applyFont="1" applyFill="1" applyBorder="1" applyAlignment="1">
      <alignment horizontal="justify" vertical="center" wrapText="1"/>
    </xf>
    <xf numFmtId="9" fontId="20" fillId="21" borderId="28" xfId="1" applyNumberFormat="1" applyFont="1" applyFill="1" applyBorder="1" applyAlignment="1">
      <alignment horizontal="center" vertical="center" wrapText="1"/>
    </xf>
    <xf numFmtId="0" fontId="7" fillId="0" borderId="0" xfId="1" applyAlignment="1">
      <alignment horizontal="center" vertical="center"/>
    </xf>
    <xf numFmtId="10" fontId="7" fillId="0" borderId="0" xfId="1" applyNumberFormat="1" applyAlignment="1">
      <alignment horizontal="center" vertical="center"/>
    </xf>
    <xf numFmtId="170" fontId="27" fillId="6" borderId="28" xfId="27" applyNumberFormat="1" applyFont="1" applyFill="1" applyBorder="1" applyAlignment="1">
      <alignment horizontal="center" vertical="center" wrapText="1"/>
    </xf>
    <xf numFmtId="9" fontId="7" fillId="20" borderId="28" xfId="17" applyFont="1" applyFill="1" applyBorder="1" applyAlignment="1">
      <alignment horizontal="center" vertical="center" wrapText="1"/>
    </xf>
    <xf numFmtId="0" fontId="7" fillId="0" borderId="0" xfId="1" applyAlignment="1">
      <alignment vertical="center" wrapText="1"/>
    </xf>
    <xf numFmtId="0" fontId="17" fillId="12" borderId="28" xfId="1" applyFont="1" applyFill="1" applyBorder="1" applyAlignment="1">
      <alignment horizontal="justify" vertical="center" wrapText="1"/>
    </xf>
    <xf numFmtId="9" fontId="15" fillId="9" borderId="28" xfId="1" applyNumberFormat="1" applyFont="1" applyFill="1" applyBorder="1" applyAlignment="1">
      <alignment horizontal="center" vertical="center" wrapText="1"/>
    </xf>
    <xf numFmtId="0" fontId="15" fillId="9" borderId="28" xfId="1" applyFont="1" applyFill="1" applyBorder="1" applyAlignment="1">
      <alignment horizontal="center" vertical="center" wrapText="1"/>
    </xf>
    <xf numFmtId="171" fontId="14" fillId="6" borderId="28" xfId="1" applyNumberFormat="1" applyFont="1" applyFill="1" applyBorder="1" applyAlignment="1">
      <alignment horizontal="center" vertical="center" wrapText="1"/>
    </xf>
    <xf numFmtId="0" fontId="20" fillId="6" borderId="28" xfId="0" applyFont="1" applyFill="1" applyBorder="1" applyAlignment="1">
      <alignment horizontal="justify" vertical="center" wrapText="1"/>
    </xf>
    <xf numFmtId="10" fontId="8" fillId="6" borderId="28" xfId="1" applyNumberFormat="1" applyFont="1" applyFill="1" applyBorder="1" applyAlignment="1">
      <alignment horizontal="center" vertical="center"/>
    </xf>
    <xf numFmtId="166" fontId="18" fillId="0" borderId="0" xfId="1" applyNumberFormat="1" applyFont="1" applyAlignment="1">
      <alignment horizontal="center" vertical="center" wrapText="1"/>
    </xf>
    <xf numFmtId="1" fontId="7" fillId="0" borderId="0" xfId="1" applyNumberFormat="1" applyAlignment="1">
      <alignment horizontal="center" vertical="center"/>
    </xf>
    <xf numFmtId="9" fontId="7" fillId="0" borderId="0" xfId="1" applyNumberFormat="1" applyAlignment="1">
      <alignment vertical="center"/>
    </xf>
    <xf numFmtId="10" fontId="35" fillId="6" borderId="28" xfId="3" applyNumberFormat="1" applyFont="1" applyFill="1" applyBorder="1" applyAlignment="1">
      <alignment horizontal="center" vertical="center"/>
    </xf>
    <xf numFmtId="173" fontId="27" fillId="6" borderId="28" xfId="27" applyNumberFormat="1" applyFont="1" applyFill="1" applyBorder="1" applyAlignment="1">
      <alignment horizontal="center" vertical="center" wrapText="1"/>
    </xf>
    <xf numFmtId="173" fontId="14" fillId="6" borderId="28" xfId="1" applyNumberFormat="1" applyFont="1" applyFill="1" applyBorder="1" applyAlignment="1">
      <alignment horizontal="center" vertical="center" wrapText="1"/>
    </xf>
    <xf numFmtId="0" fontId="11" fillId="3" borderId="29" xfId="1" applyFont="1" applyFill="1" applyBorder="1" applyAlignment="1">
      <alignment horizontal="justify" vertical="center" wrapText="1"/>
    </xf>
    <xf numFmtId="0" fontId="7" fillId="0" borderId="30" xfId="1" applyBorder="1" applyAlignment="1">
      <alignment horizontal="center" vertical="center" wrapText="1"/>
    </xf>
    <xf numFmtId="0" fontId="7" fillId="0" borderId="29" xfId="1" applyBorder="1" applyAlignment="1">
      <alignment vertical="center"/>
    </xf>
    <xf numFmtId="166" fontId="7" fillId="0" borderId="29" xfId="16" applyNumberFormat="1" applyFont="1" applyBorder="1" applyAlignment="1">
      <alignment horizontal="center" vertical="center" wrapText="1"/>
    </xf>
    <xf numFmtId="165" fontId="7" fillId="0" borderId="28" xfId="1" applyNumberFormat="1" applyBorder="1" applyAlignment="1">
      <alignment horizontal="center" vertical="center" wrapText="1"/>
    </xf>
    <xf numFmtId="165" fontId="7" fillId="0" borderId="10" xfId="1" applyNumberFormat="1" applyBorder="1" applyAlignment="1">
      <alignment horizontal="center" vertical="center" wrapText="1"/>
    </xf>
    <xf numFmtId="10" fontId="7" fillId="0" borderId="10" xfId="1" applyNumberFormat="1" applyBorder="1" applyAlignment="1">
      <alignment horizontal="center" vertical="center" wrapText="1"/>
    </xf>
    <xf numFmtId="0" fontId="7" fillId="0" borderId="10" xfId="1" applyBorder="1" applyAlignment="1">
      <alignment vertical="center"/>
    </xf>
    <xf numFmtId="166" fontId="7" fillId="0" borderId="10" xfId="16" applyNumberFormat="1" applyFont="1" applyBorder="1" applyAlignment="1">
      <alignment horizontal="center" vertical="center" wrapText="1"/>
    </xf>
    <xf numFmtId="166" fontId="7" fillId="0" borderId="7" xfId="16" applyNumberFormat="1" applyFont="1" applyBorder="1" applyAlignment="1">
      <alignment horizontal="center" vertical="center" wrapText="1"/>
    </xf>
    <xf numFmtId="166" fontId="7" fillId="0" borderId="5" xfId="16" applyNumberFormat="1" applyFont="1" applyBorder="1" applyAlignment="1">
      <alignment horizontal="center" vertical="center" wrapText="1"/>
    </xf>
    <xf numFmtId="0" fontId="7" fillId="0" borderId="13" xfId="1" applyBorder="1" applyAlignment="1">
      <alignment vertical="center"/>
    </xf>
    <xf numFmtId="166" fontId="7" fillId="0" borderId="13" xfId="16" applyNumberFormat="1" applyFont="1" applyBorder="1" applyAlignment="1">
      <alignment horizontal="center" vertical="center" wrapText="1"/>
    </xf>
    <xf numFmtId="166" fontId="7" fillId="0" borderId="16" xfId="16" applyNumberFormat="1" applyFont="1" applyBorder="1" applyAlignment="1">
      <alignment horizontal="center" vertical="center" wrapText="1"/>
    </xf>
    <xf numFmtId="0" fontId="7" fillId="0" borderId="16" xfId="1" applyBorder="1" applyAlignment="1">
      <alignment horizontal="center" vertical="center" wrapText="1"/>
    </xf>
    <xf numFmtId="0" fontId="11" fillId="3" borderId="31" xfId="1" applyFont="1" applyFill="1" applyBorder="1" applyAlignment="1">
      <alignment horizontal="justify" vertical="center" wrapText="1"/>
    </xf>
    <xf numFmtId="0" fontId="17" fillId="6" borderId="28" xfId="1" applyFont="1" applyFill="1" applyBorder="1" applyAlignment="1">
      <alignment horizontal="justify" vertical="center" wrapText="1"/>
    </xf>
    <xf numFmtId="166" fontId="7" fillId="0" borderId="0" xfId="16" applyNumberFormat="1" applyFont="1" applyBorder="1" applyAlignment="1">
      <alignment horizontal="center" vertical="center" wrapText="1"/>
    </xf>
    <xf numFmtId="0" fontId="10" fillId="3" borderId="10" xfId="1" applyFont="1" applyFill="1" applyBorder="1" applyAlignment="1">
      <alignment horizontal="justify" vertical="center" wrapText="1"/>
    </xf>
    <xf numFmtId="0" fontId="7" fillId="0" borderId="0" xfId="1" applyAlignment="1">
      <alignment horizontal="center" vertical="center"/>
    </xf>
    <xf numFmtId="0" fontId="49" fillId="6" borderId="28" xfId="1" applyFont="1" applyFill="1" applyBorder="1" applyAlignment="1">
      <alignment horizontal="justify" vertical="center" wrapText="1"/>
    </xf>
    <xf numFmtId="0" fontId="44" fillId="6" borderId="28" xfId="1" applyFont="1" applyFill="1" applyBorder="1" applyAlignment="1">
      <alignment horizontal="justify" vertical="center" wrapText="1"/>
    </xf>
    <xf numFmtId="0" fontId="7" fillId="6" borderId="28" xfId="1" applyFont="1" applyFill="1" applyBorder="1" applyAlignment="1">
      <alignment horizontal="justify" vertical="center" wrapText="1"/>
    </xf>
    <xf numFmtId="0" fontId="7" fillId="6" borderId="13" xfId="1" applyFont="1" applyFill="1" applyBorder="1" applyAlignment="1">
      <alignment horizontal="justify" vertical="center" wrapText="1"/>
    </xf>
    <xf numFmtId="0" fontId="7" fillId="12" borderId="28" xfId="1" applyFont="1" applyFill="1" applyBorder="1" applyAlignment="1">
      <alignment horizontal="justify" vertical="center" wrapText="1"/>
    </xf>
    <xf numFmtId="0" fontId="7" fillId="6" borderId="31" xfId="1" applyFont="1" applyFill="1" applyBorder="1" applyAlignment="1">
      <alignment horizontal="justify" vertical="center" wrapText="1"/>
    </xf>
    <xf numFmtId="0" fontId="7" fillId="6" borderId="10" xfId="1" applyFont="1" applyFill="1" applyBorder="1" applyAlignment="1">
      <alignment horizontal="justify" vertical="center" wrapText="1"/>
    </xf>
    <xf numFmtId="10" fontId="11" fillId="6" borderId="28" xfId="3" applyNumberFormat="1" applyFont="1" applyFill="1" applyBorder="1" applyAlignment="1">
      <alignment horizontal="center" vertical="center"/>
    </xf>
    <xf numFmtId="0" fontId="7" fillId="6" borderId="2" xfId="1" applyFont="1" applyFill="1" applyBorder="1" applyAlignment="1">
      <alignment horizontal="justify" vertical="center" wrapText="1"/>
    </xf>
    <xf numFmtId="0" fontId="7" fillId="6" borderId="29" xfId="1" applyFont="1" applyFill="1" applyBorder="1" applyAlignment="1">
      <alignment horizontal="justify" vertical="center" wrapText="1"/>
    </xf>
    <xf numFmtId="0" fontId="17" fillId="3" borderId="28" xfId="1" applyFont="1" applyFill="1" applyBorder="1" applyAlignment="1">
      <alignment horizontal="justify" vertical="center" wrapText="1"/>
    </xf>
    <xf numFmtId="9" fontId="7" fillId="23" borderId="28" xfId="1" applyNumberFormat="1" applyFont="1" applyFill="1" applyBorder="1" applyAlignment="1">
      <alignment horizontal="center" vertical="center" wrapText="1"/>
    </xf>
    <xf numFmtId="9" fontId="7" fillId="22" borderId="28" xfId="1" applyNumberFormat="1" applyFont="1" applyFill="1" applyBorder="1" applyAlignment="1">
      <alignment horizontal="center" vertical="center" wrapText="1"/>
    </xf>
    <xf numFmtId="9" fontId="7" fillId="22" borderId="13" xfId="1" applyNumberFormat="1" applyFont="1" applyFill="1" applyBorder="1" applyAlignment="1">
      <alignment horizontal="center" vertical="center" wrapText="1"/>
    </xf>
    <xf numFmtId="9" fontId="7" fillId="9" borderId="28" xfId="1" applyNumberFormat="1" applyFont="1" applyFill="1" applyBorder="1" applyAlignment="1">
      <alignment horizontal="center" vertical="center" wrapText="1"/>
    </xf>
    <xf numFmtId="0" fontId="12" fillId="9" borderId="28" xfId="1" applyFont="1" applyFill="1" applyBorder="1" applyAlignment="1">
      <alignment horizontal="center" vertical="center" wrapText="1"/>
    </xf>
    <xf numFmtId="0" fontId="7" fillId="9" borderId="28" xfId="1" applyFont="1" applyFill="1" applyBorder="1" applyAlignment="1">
      <alignment horizontal="center" vertical="center" wrapText="1"/>
    </xf>
    <xf numFmtId="0" fontId="7" fillId="21" borderId="28" xfId="1" applyFont="1" applyFill="1" applyBorder="1" applyAlignment="1">
      <alignment horizontal="center" vertical="center"/>
    </xf>
    <xf numFmtId="9" fontId="7" fillId="20" borderId="10" xfId="1" applyNumberFormat="1" applyFont="1" applyFill="1" applyBorder="1" applyAlignment="1">
      <alignment horizontal="center" vertical="center" wrapText="1"/>
    </xf>
    <xf numFmtId="9" fontId="7" fillId="20" borderId="28" xfId="1" applyNumberFormat="1" applyFont="1" applyFill="1" applyBorder="1" applyAlignment="1">
      <alignment horizontal="center" vertical="center" wrapText="1"/>
    </xf>
    <xf numFmtId="9" fontId="7" fillId="19" borderId="10" xfId="1" applyNumberFormat="1" applyFont="1" applyFill="1" applyBorder="1" applyAlignment="1">
      <alignment horizontal="center" vertical="center" wrapText="1"/>
    </xf>
    <xf numFmtId="9" fontId="7" fillId="19" borderId="13" xfId="1" applyNumberFormat="1" applyFont="1" applyFill="1" applyBorder="1" applyAlignment="1">
      <alignment horizontal="center" vertical="center" wrapText="1"/>
    </xf>
    <xf numFmtId="0" fontId="7" fillId="0" borderId="31"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0" xfId="1" applyFont="1" applyAlignment="1">
      <alignment vertical="center"/>
    </xf>
    <xf numFmtId="9" fontId="7" fillId="21" borderId="28" xfId="1" applyNumberFormat="1" applyFont="1" applyFill="1" applyBorder="1" applyAlignment="1">
      <alignment horizontal="center" vertical="center" wrapText="1"/>
    </xf>
    <xf numFmtId="9" fontId="7" fillId="27" borderId="28" xfId="1" applyNumberFormat="1" applyFont="1" applyFill="1" applyBorder="1" applyAlignment="1">
      <alignment horizontal="center" vertical="center" wrapText="1"/>
    </xf>
    <xf numFmtId="0" fontId="9" fillId="3" borderId="2" xfId="1" applyFont="1" applyFill="1" applyBorder="1" applyAlignment="1">
      <alignment horizontal="justify" vertical="center" wrapText="1"/>
    </xf>
    <xf numFmtId="0" fontId="9" fillId="3" borderId="28" xfId="1" applyFont="1" applyFill="1" applyBorder="1" applyAlignment="1">
      <alignment horizontal="justify" vertical="center" wrapText="1"/>
    </xf>
    <xf numFmtId="9" fontId="13" fillId="20" borderId="10" xfId="1" applyNumberFormat="1" applyFont="1" applyFill="1" applyBorder="1" applyAlignment="1">
      <alignment horizontal="center" vertical="center" wrapText="1"/>
    </xf>
    <xf numFmtId="9" fontId="13" fillId="20" borderId="28" xfId="1" applyNumberFormat="1" applyFont="1" applyFill="1" applyBorder="1" applyAlignment="1">
      <alignment horizontal="center" vertical="center" wrapText="1"/>
    </xf>
    <xf numFmtId="9" fontId="17" fillId="20" borderId="28" xfId="1" applyNumberFormat="1" applyFont="1" applyFill="1" applyBorder="1" applyAlignment="1">
      <alignment horizontal="center" vertical="center" wrapText="1"/>
    </xf>
    <xf numFmtId="9" fontId="7" fillId="28" borderId="28" xfId="1" applyNumberFormat="1" applyFont="1" applyFill="1" applyBorder="1" applyAlignment="1">
      <alignment horizontal="center" vertical="center" wrapText="1"/>
    </xf>
    <xf numFmtId="9" fontId="7" fillId="19" borderId="28" xfId="1" applyNumberFormat="1" applyFont="1" applyFill="1" applyBorder="1" applyAlignment="1">
      <alignment horizontal="center" vertical="center" wrapText="1"/>
    </xf>
    <xf numFmtId="41" fontId="18" fillId="26" borderId="28" xfId="27" applyFont="1" applyFill="1" applyBorder="1" applyAlignment="1">
      <alignment horizontal="center" vertical="center" wrapText="1"/>
    </xf>
    <xf numFmtId="165" fontId="18" fillId="26" borderId="28" xfId="1" applyNumberFormat="1" applyFont="1" applyFill="1" applyBorder="1" applyAlignment="1">
      <alignment horizontal="center" vertical="center" wrapText="1"/>
    </xf>
    <xf numFmtId="0" fontId="7" fillId="0" borderId="0" xfId="1" applyFont="1" applyAlignment="1">
      <alignment horizontal="center" vertical="center"/>
    </xf>
    <xf numFmtId="165" fontId="7" fillId="0" borderId="0" xfId="1" applyNumberFormat="1" applyAlignment="1">
      <alignment horizontal="center" vertical="center"/>
    </xf>
    <xf numFmtId="0" fontId="8" fillId="4" borderId="10" xfId="1" applyFont="1" applyFill="1" applyBorder="1" applyAlignment="1">
      <alignment horizontal="center" vertical="center"/>
    </xf>
    <xf numFmtId="0" fontId="8" fillId="5" borderId="28" xfId="1" applyFont="1" applyFill="1" applyBorder="1" applyAlignment="1">
      <alignment horizontal="center" vertical="center"/>
    </xf>
    <xf numFmtId="0" fontId="9" fillId="2" borderId="13" xfId="1" applyFont="1" applyFill="1" applyBorder="1" applyAlignment="1">
      <alignment horizontal="center" vertical="center" wrapText="1"/>
    </xf>
    <xf numFmtId="0" fontId="7" fillId="0" borderId="11" xfId="1" applyBorder="1" applyAlignment="1">
      <alignment horizontal="center" vertical="center" wrapText="1"/>
    </xf>
    <xf numFmtId="165" fontId="7" fillId="0" borderId="38" xfId="1" applyNumberFormat="1" applyBorder="1" applyAlignment="1">
      <alignment horizontal="center" vertical="center" wrapText="1"/>
    </xf>
    <xf numFmtId="0" fontId="7" fillId="0" borderId="24" xfId="1" applyBorder="1" applyAlignment="1">
      <alignment horizontal="center" vertical="center" wrapText="1"/>
    </xf>
    <xf numFmtId="0" fontId="7" fillId="0" borderId="32" xfId="1" applyBorder="1" applyAlignment="1">
      <alignment horizontal="justify" vertical="center" wrapText="1"/>
    </xf>
    <xf numFmtId="10" fontId="7" fillId="6" borderId="28" xfId="3" applyNumberFormat="1" applyFont="1" applyFill="1" applyBorder="1" applyAlignment="1">
      <alignment horizontal="center" vertical="center"/>
    </xf>
    <xf numFmtId="0" fontId="7" fillId="6" borderId="28" xfId="1" applyFill="1" applyBorder="1" applyAlignment="1">
      <alignment horizontal="justify" vertical="center"/>
    </xf>
    <xf numFmtId="9" fontId="11" fillId="21" borderId="28" xfId="1" applyNumberFormat="1" applyFont="1" applyFill="1" applyBorder="1" applyAlignment="1">
      <alignment horizontal="center" vertical="center" wrapText="1"/>
    </xf>
    <xf numFmtId="0" fontId="7" fillId="6" borderId="28" xfId="1" applyFont="1" applyFill="1" applyBorder="1" applyAlignment="1">
      <alignment horizontal="justify" vertical="center"/>
    </xf>
    <xf numFmtId="0" fontId="16" fillId="27" borderId="28" xfId="1" applyFont="1" applyFill="1" applyBorder="1" applyAlignment="1">
      <alignment horizontal="center" vertical="center" wrapText="1"/>
    </xf>
    <xf numFmtId="168" fontId="7" fillId="0" borderId="28" xfId="1" applyNumberFormat="1" applyBorder="1" applyAlignment="1">
      <alignment horizontal="center" vertical="center" wrapText="1"/>
    </xf>
    <xf numFmtId="9" fontId="15" fillId="27" borderId="28" xfId="0" applyNumberFormat="1" applyFont="1" applyFill="1" applyBorder="1" applyAlignment="1">
      <alignment horizontal="center" vertical="center" wrapText="1"/>
    </xf>
    <xf numFmtId="9" fontId="7" fillId="27" borderId="28" xfId="0" applyNumberFormat="1" applyFont="1" applyFill="1" applyBorder="1" applyAlignment="1">
      <alignment horizontal="center" vertical="center" wrapText="1"/>
    </xf>
    <xf numFmtId="10" fontId="45" fillId="6" borderId="28" xfId="3" applyNumberFormat="1" applyFont="1" applyFill="1" applyBorder="1" applyAlignment="1">
      <alignment horizontal="center" vertical="center"/>
    </xf>
    <xf numFmtId="10" fontId="11" fillId="10" borderId="28" xfId="3" applyNumberFormat="1" applyFont="1" applyFill="1" applyBorder="1" applyAlignment="1">
      <alignment horizontal="center" vertical="center"/>
    </xf>
    <xf numFmtId="0" fontId="7" fillId="6" borderId="28" xfId="0" applyFont="1" applyFill="1" applyBorder="1" applyAlignment="1">
      <alignment horizontal="justify" vertical="center" wrapText="1"/>
    </xf>
    <xf numFmtId="10" fontId="17" fillId="6" borderId="28" xfId="3" applyNumberFormat="1" applyFont="1" applyFill="1" applyBorder="1" applyAlignment="1">
      <alignment horizontal="center" vertical="center"/>
    </xf>
    <xf numFmtId="0" fontId="7" fillId="28" borderId="28" xfId="1" applyFont="1" applyFill="1" applyBorder="1" applyAlignment="1">
      <alignment horizontal="center" vertical="center" wrapText="1"/>
    </xf>
    <xf numFmtId="10" fontId="42" fillId="6" borderId="28" xfId="3" applyNumberFormat="1" applyFont="1" applyFill="1" applyBorder="1" applyAlignment="1">
      <alignment horizontal="center" vertical="center"/>
    </xf>
    <xf numFmtId="10" fontId="31" fillId="6" borderId="28" xfId="3" applyNumberFormat="1" applyFont="1" applyFill="1" applyBorder="1" applyAlignment="1">
      <alignment horizontal="center" vertical="center"/>
    </xf>
    <xf numFmtId="0" fontId="9" fillId="6" borderId="28" xfId="1" applyFont="1" applyFill="1" applyBorder="1" applyAlignment="1">
      <alignment horizontal="justify" vertical="center" wrapText="1"/>
    </xf>
    <xf numFmtId="0" fontId="16" fillId="3" borderId="28" xfId="1" applyFont="1" applyFill="1" applyBorder="1" applyAlignment="1">
      <alignment horizontal="justify" vertical="center" wrapText="1"/>
    </xf>
    <xf numFmtId="0" fontId="8" fillId="6" borderId="28" xfId="1" applyFont="1" applyFill="1" applyBorder="1" applyAlignment="1">
      <alignment horizontal="center" vertical="center" wrapText="1"/>
    </xf>
    <xf numFmtId="0" fontId="7" fillId="20" borderId="28" xfId="1" applyFont="1" applyFill="1" applyBorder="1" applyAlignment="1">
      <alignment horizontal="center" vertical="center" wrapText="1"/>
    </xf>
    <xf numFmtId="0" fontId="7" fillId="6" borderId="28" xfId="1" applyFont="1" applyFill="1" applyBorder="1" applyAlignment="1">
      <alignment horizontal="center" vertical="center" wrapText="1"/>
    </xf>
    <xf numFmtId="0" fontId="7" fillId="0" borderId="22" xfId="1" applyBorder="1" applyAlignment="1">
      <alignment horizontal="center" vertical="center" wrapText="1"/>
    </xf>
    <xf numFmtId="0" fontId="7" fillId="0" borderId="22" xfId="1" applyBorder="1" applyAlignment="1">
      <alignment vertical="center"/>
    </xf>
    <xf numFmtId="0" fontId="23" fillId="0" borderId="22" xfId="1" applyFont="1" applyBorder="1" applyAlignment="1">
      <alignment horizontal="center" vertical="center" wrapText="1"/>
    </xf>
    <xf numFmtId="0" fontId="35" fillId="3" borderId="10" xfId="1" applyFont="1" applyFill="1" applyBorder="1" applyAlignment="1">
      <alignment horizontal="justify" vertical="center" wrapText="1"/>
    </xf>
    <xf numFmtId="41" fontId="18" fillId="26" borderId="10" xfId="27" applyFont="1" applyFill="1" applyBorder="1" applyAlignment="1">
      <alignment horizontal="center" vertical="center" wrapText="1"/>
    </xf>
    <xf numFmtId="0" fontId="11" fillId="3" borderId="13" xfId="1" applyFont="1" applyFill="1" applyBorder="1" applyAlignment="1">
      <alignment horizontal="justify" vertical="center" wrapText="1"/>
    </xf>
    <xf numFmtId="165" fontId="18" fillId="26" borderId="13" xfId="1" applyNumberFormat="1" applyFont="1" applyFill="1" applyBorder="1" applyAlignment="1">
      <alignment horizontal="center" vertical="center" wrapText="1"/>
    </xf>
    <xf numFmtId="165" fontId="7" fillId="0" borderId="13" xfId="1" applyNumberFormat="1" applyBorder="1" applyAlignment="1">
      <alignment horizontal="center" vertical="center" wrapText="1"/>
    </xf>
    <xf numFmtId="10" fontId="7" fillId="0" borderId="13" xfId="1" applyNumberFormat="1" applyBorder="1" applyAlignment="1">
      <alignment horizontal="center" vertical="center" wrapText="1"/>
    </xf>
    <xf numFmtId="0" fontId="11" fillId="3" borderId="10" xfId="1" applyFont="1" applyFill="1" applyBorder="1" applyAlignment="1">
      <alignment horizontal="justify" vertical="center" wrapText="1"/>
    </xf>
    <xf numFmtId="9" fontId="7" fillId="23" borderId="10" xfId="1" applyNumberFormat="1" applyFont="1" applyFill="1" applyBorder="1" applyAlignment="1">
      <alignment horizontal="center" vertical="center" wrapText="1"/>
    </xf>
    <xf numFmtId="9" fontId="7" fillId="23" borderId="13" xfId="1" applyNumberFormat="1" applyFont="1" applyFill="1" applyBorder="1" applyAlignment="1">
      <alignment horizontal="center" vertical="center" wrapText="1"/>
    </xf>
    <xf numFmtId="0" fontId="11" fillId="6" borderId="10" xfId="1" applyFont="1" applyFill="1" applyBorder="1" applyAlignment="1">
      <alignment horizontal="justify" vertical="center" wrapText="1"/>
    </xf>
    <xf numFmtId="9" fontId="7" fillId="16" borderId="10" xfId="1" applyNumberFormat="1" applyFont="1" applyFill="1" applyBorder="1" applyAlignment="1">
      <alignment horizontal="center" vertical="center" wrapText="1"/>
    </xf>
    <xf numFmtId="0" fontId="11" fillId="6" borderId="13" xfId="1" applyFont="1" applyFill="1" applyBorder="1" applyAlignment="1">
      <alignment horizontal="justify" vertical="center" wrapText="1"/>
    </xf>
    <xf numFmtId="0" fontId="7" fillId="16" borderId="13" xfId="1" applyFont="1" applyFill="1" applyBorder="1" applyAlignment="1">
      <alignment horizontal="center" vertical="center"/>
    </xf>
    <xf numFmtId="166" fontId="7" fillId="0" borderId="37" xfId="16" applyNumberFormat="1" applyFont="1" applyBorder="1" applyAlignment="1">
      <alignment horizontal="center" vertical="center" wrapText="1"/>
    </xf>
    <xf numFmtId="0" fontId="7" fillId="0" borderId="0" xfId="1" applyBorder="1" applyAlignment="1">
      <alignment horizontal="center" vertical="center" wrapText="1"/>
    </xf>
    <xf numFmtId="0" fontId="7" fillId="0" borderId="0" xfId="1" applyBorder="1" applyAlignment="1">
      <alignment vertical="center"/>
    </xf>
    <xf numFmtId="0" fontId="23" fillId="0" borderId="0" xfId="1" applyFont="1" applyBorder="1" applyAlignment="1">
      <alignment horizontal="center" vertical="center" wrapText="1"/>
    </xf>
    <xf numFmtId="0" fontId="23" fillId="0" borderId="19" xfId="1" applyFont="1" applyBorder="1" applyAlignment="1">
      <alignment horizontal="center" vertical="center" wrapText="1"/>
    </xf>
    <xf numFmtId="0" fontId="36" fillId="3" borderId="13" xfId="1" applyFont="1" applyFill="1" applyBorder="1" applyAlignment="1">
      <alignment horizontal="justify" vertical="center" wrapText="1"/>
    </xf>
    <xf numFmtId="0" fontId="8" fillId="6" borderId="13" xfId="1" applyFont="1" applyFill="1" applyBorder="1" applyAlignment="1">
      <alignment horizontal="justify" vertical="center" wrapText="1"/>
    </xf>
    <xf numFmtId="9" fontId="13" fillId="20" borderId="13" xfId="1" applyNumberFormat="1" applyFont="1" applyFill="1" applyBorder="1" applyAlignment="1">
      <alignment horizontal="center" vertical="center" wrapText="1"/>
    </xf>
    <xf numFmtId="0" fontId="7" fillId="0" borderId="29" xfId="1" applyFont="1" applyBorder="1" applyAlignment="1">
      <alignment horizontal="center" vertical="center" wrapText="1"/>
    </xf>
    <xf numFmtId="0" fontId="7" fillId="0" borderId="29" xfId="1" applyBorder="1" applyAlignment="1">
      <alignment horizontal="center" vertical="center" wrapText="1"/>
    </xf>
    <xf numFmtId="166" fontId="7" fillId="0" borderId="36" xfId="16" applyNumberFormat="1" applyFont="1" applyBorder="1" applyAlignment="1">
      <alignment horizontal="center" vertical="center" wrapText="1"/>
    </xf>
    <xf numFmtId="0" fontId="7" fillId="0" borderId="17" xfId="1" applyBorder="1" applyAlignment="1">
      <alignment horizontal="center" vertical="center" wrapText="1"/>
    </xf>
    <xf numFmtId="10" fontId="7" fillId="0" borderId="17" xfId="1" applyNumberFormat="1" applyBorder="1" applyAlignment="1">
      <alignment horizontal="center" vertical="center" wrapText="1"/>
    </xf>
    <xf numFmtId="0" fontId="7" fillId="0" borderId="17" xfId="1" applyBorder="1" applyAlignment="1">
      <alignment vertical="center"/>
    </xf>
    <xf numFmtId="166" fontId="7" fillId="0" borderId="17" xfId="16" applyNumberFormat="1" applyFont="1" applyBorder="1" applyAlignment="1">
      <alignment horizontal="center" vertical="center" wrapText="1"/>
    </xf>
    <xf numFmtId="166" fontId="7" fillId="0" borderId="21" xfId="16" applyNumberFormat="1" applyFont="1" applyBorder="1" applyAlignment="1">
      <alignment horizontal="center" vertical="center" wrapText="1"/>
    </xf>
    <xf numFmtId="10" fontId="7" fillId="0" borderId="0" xfId="1" applyNumberFormat="1" applyBorder="1" applyAlignment="1">
      <alignment horizontal="center" vertical="center" wrapText="1"/>
    </xf>
    <xf numFmtId="166" fontId="7" fillId="0" borderId="19" xfId="16" applyNumberFormat="1" applyFont="1" applyBorder="1" applyAlignment="1">
      <alignment horizontal="center" vertical="center" wrapText="1"/>
    </xf>
    <xf numFmtId="166" fontId="7" fillId="0" borderId="22" xfId="16" applyNumberFormat="1" applyFont="1" applyBorder="1" applyAlignment="1">
      <alignment horizontal="center" vertical="center" wrapText="1"/>
    </xf>
    <xf numFmtId="166" fontId="7" fillId="0" borderId="23" xfId="16" applyNumberFormat="1" applyFont="1" applyBorder="1" applyAlignment="1">
      <alignment horizontal="center" vertical="center" wrapText="1"/>
    </xf>
    <xf numFmtId="0" fontId="7" fillId="0" borderId="28" xfId="1" applyBorder="1" applyAlignment="1">
      <alignment horizontal="justify" vertical="center" wrapText="1"/>
    </xf>
    <xf numFmtId="166" fontId="7" fillId="0" borderId="28" xfId="16" applyNumberFormat="1" applyFont="1" applyBorder="1" applyAlignment="1">
      <alignment horizontal="justify" vertical="center" wrapText="1"/>
    </xf>
    <xf numFmtId="166" fontId="7" fillId="0" borderId="5" xfId="16" applyNumberFormat="1" applyFont="1" applyBorder="1" applyAlignment="1">
      <alignment horizontal="justify" vertical="center" wrapText="1"/>
    </xf>
    <xf numFmtId="0" fontId="7" fillId="20" borderId="13" xfId="1" applyFont="1" applyFill="1" applyBorder="1" applyAlignment="1">
      <alignment horizontal="center" vertical="center" wrapText="1"/>
    </xf>
    <xf numFmtId="0" fontId="7" fillId="6" borderId="10" xfId="0" applyFont="1" applyFill="1" applyBorder="1" applyAlignment="1">
      <alignment horizontal="justify" vertical="center" wrapText="1"/>
    </xf>
    <xf numFmtId="9" fontId="7" fillId="28" borderId="10" xfId="1" applyNumberFormat="1" applyFont="1" applyFill="1" applyBorder="1" applyAlignment="1">
      <alignment horizontal="center" vertical="center" wrapText="1"/>
    </xf>
    <xf numFmtId="10" fontId="17" fillId="6" borderId="10" xfId="3" applyNumberFormat="1" applyFont="1" applyFill="1" applyBorder="1" applyAlignment="1">
      <alignment horizontal="center" vertical="center"/>
    </xf>
    <xf numFmtId="10" fontId="7" fillId="6" borderId="10" xfId="3" applyNumberFormat="1" applyFont="1" applyFill="1" applyBorder="1" applyAlignment="1">
      <alignment horizontal="center" vertical="center"/>
    </xf>
    <xf numFmtId="0" fontId="12" fillId="24" borderId="2" xfId="1" applyFont="1" applyFill="1" applyBorder="1" applyAlignment="1">
      <alignment horizontal="center" vertical="center" wrapText="1"/>
    </xf>
    <xf numFmtId="0" fontId="7" fillId="27" borderId="2" xfId="1" applyFont="1" applyFill="1" applyBorder="1" applyAlignment="1">
      <alignment horizontal="center" vertical="center" wrapText="1"/>
    </xf>
    <xf numFmtId="0" fontId="7" fillId="0" borderId="2" xfId="1" applyBorder="1" applyAlignment="1">
      <alignment horizontal="center" vertical="center" wrapText="1"/>
    </xf>
    <xf numFmtId="0" fontId="7" fillId="0" borderId="2" xfId="1" applyBorder="1" applyAlignment="1">
      <alignment vertical="center"/>
    </xf>
    <xf numFmtId="166" fontId="7" fillId="0" borderId="2" xfId="16" applyNumberFormat="1" applyFont="1" applyBorder="1" applyAlignment="1">
      <alignment horizontal="center" vertical="center" wrapText="1"/>
    </xf>
    <xf numFmtId="0" fontId="16" fillId="6" borderId="10" xfId="1" applyFont="1" applyFill="1" applyBorder="1" applyAlignment="1">
      <alignment horizontal="justify" vertical="center" wrapText="1"/>
    </xf>
    <xf numFmtId="9" fontId="20" fillId="27" borderId="10" xfId="1" applyNumberFormat="1" applyFont="1" applyFill="1" applyBorder="1" applyAlignment="1">
      <alignment horizontal="center" vertical="center" wrapText="1"/>
    </xf>
    <xf numFmtId="0" fontId="49" fillId="6" borderId="13" xfId="1" applyFont="1" applyFill="1" applyBorder="1" applyAlignment="1">
      <alignment horizontal="justify" vertical="center" wrapText="1"/>
    </xf>
    <xf numFmtId="9" fontId="7" fillId="27" borderId="13" xfId="1" applyNumberFormat="1" applyFont="1" applyFill="1" applyBorder="1" applyAlignment="1">
      <alignment horizontal="center" vertical="center" wrapText="1"/>
    </xf>
    <xf numFmtId="9" fontId="7" fillId="21" borderId="10" xfId="1" applyNumberFormat="1" applyFont="1" applyFill="1" applyBorder="1" applyAlignment="1">
      <alignment horizontal="center" vertical="center" wrapText="1"/>
    </xf>
    <xf numFmtId="0" fontId="7" fillId="6" borderId="13" xfId="1" applyFont="1" applyFill="1" applyBorder="1" applyAlignment="1">
      <alignment horizontal="justify" vertical="center"/>
    </xf>
    <xf numFmtId="9" fontId="11" fillId="21" borderId="13" xfId="1" applyNumberFormat="1" applyFont="1" applyFill="1" applyBorder="1" applyAlignment="1">
      <alignment horizontal="center" vertical="center" wrapText="1"/>
    </xf>
    <xf numFmtId="0" fontId="17" fillId="12" borderId="10" xfId="1" applyFont="1" applyFill="1" applyBorder="1" applyAlignment="1">
      <alignment horizontal="justify" vertical="center" wrapText="1"/>
    </xf>
    <xf numFmtId="9" fontId="7" fillId="9" borderId="10" xfId="1" applyNumberFormat="1" applyFont="1" applyFill="1" applyBorder="1" applyAlignment="1">
      <alignment horizontal="center" vertical="center" wrapText="1"/>
    </xf>
    <xf numFmtId="165" fontId="8" fillId="0" borderId="10" xfId="1" applyNumberFormat="1" applyFont="1" applyBorder="1" applyAlignment="1">
      <alignment horizontal="center" vertical="center" wrapText="1"/>
    </xf>
    <xf numFmtId="0" fontId="7" fillId="0" borderId="11" xfId="1" applyBorder="1" applyAlignment="1">
      <alignment vertical="center"/>
    </xf>
    <xf numFmtId="9" fontId="7" fillId="9" borderId="13" xfId="1" applyNumberFormat="1" applyFont="1" applyFill="1" applyBorder="1" applyAlignment="1">
      <alignment horizontal="center" vertical="center" wrapText="1"/>
    </xf>
    <xf numFmtId="0" fontId="7" fillId="0" borderId="26" xfId="1" applyBorder="1" applyAlignment="1">
      <alignment horizontal="center" vertical="center" wrapText="1"/>
    </xf>
    <xf numFmtId="0" fontId="7" fillId="0" borderId="27" xfId="1" applyBorder="1" applyAlignment="1">
      <alignment horizontal="center" vertical="center" wrapText="1"/>
    </xf>
    <xf numFmtId="0" fontId="7" fillId="0" borderId="24" xfId="1" applyBorder="1" applyAlignment="1">
      <alignment vertical="center"/>
    </xf>
    <xf numFmtId="0" fontId="17" fillId="6" borderId="10" xfId="1" applyFont="1" applyFill="1" applyBorder="1" applyAlignment="1">
      <alignment horizontal="justify" vertical="center" wrapText="1"/>
    </xf>
    <xf numFmtId="165" fontId="8" fillId="0" borderId="13" xfId="1" applyNumberFormat="1" applyFont="1" applyBorder="1" applyAlignment="1">
      <alignment horizontal="center" vertical="center" wrapText="1"/>
    </xf>
    <xf numFmtId="9" fontId="15" fillId="7" borderId="10" xfId="1" applyNumberFormat="1" applyFont="1" applyFill="1" applyBorder="1" applyAlignment="1">
      <alignment horizontal="center" vertical="center" wrapText="1"/>
    </xf>
    <xf numFmtId="0" fontId="13" fillId="6" borderId="10" xfId="1" applyFont="1" applyFill="1" applyBorder="1" applyAlignment="1">
      <alignment horizontal="justify" vertical="center" wrapText="1"/>
    </xf>
    <xf numFmtId="9" fontId="7" fillId="7" borderId="10" xfId="1" applyNumberFormat="1" applyFont="1" applyFill="1" applyBorder="1" applyAlignment="1">
      <alignment horizontal="center" vertical="center" wrapText="1"/>
    </xf>
    <xf numFmtId="0" fontId="19" fillId="6" borderId="13" xfId="1" applyFont="1" applyFill="1" applyBorder="1" applyAlignment="1">
      <alignment horizontal="justify" vertical="center" wrapText="1"/>
    </xf>
    <xf numFmtId="0" fontId="11" fillId="12" borderId="29" xfId="1" applyFont="1" applyFill="1" applyBorder="1" applyAlignment="1">
      <alignment horizontal="justify" vertical="center" wrapText="1"/>
    </xf>
    <xf numFmtId="0" fontId="11" fillId="12" borderId="28" xfId="1" applyFont="1" applyFill="1" applyBorder="1" applyAlignment="1">
      <alignment horizontal="justify" vertical="center" wrapText="1"/>
    </xf>
    <xf numFmtId="0" fontId="11" fillId="12" borderId="31" xfId="1" applyFont="1" applyFill="1" applyBorder="1" applyAlignment="1">
      <alignment horizontal="justify" vertical="center" wrapText="1"/>
    </xf>
    <xf numFmtId="0" fontId="16" fillId="12" borderId="28" xfId="1" applyFont="1" applyFill="1" applyBorder="1" applyAlignment="1">
      <alignment horizontal="justify" vertical="center" wrapText="1"/>
    </xf>
    <xf numFmtId="0" fontId="8" fillId="12" borderId="28" xfId="1" applyFont="1" applyFill="1" applyBorder="1" applyAlignment="1">
      <alignment horizontal="justify" vertical="center" wrapText="1"/>
    </xf>
    <xf numFmtId="0" fontId="7" fillId="12" borderId="28" xfId="1" applyFill="1" applyBorder="1" applyAlignment="1">
      <alignment horizontal="justify" vertical="center"/>
    </xf>
    <xf numFmtId="0" fontId="7" fillId="6" borderId="0" xfId="1" applyFont="1" applyFill="1" applyAlignment="1">
      <alignment horizontal="justify" vertical="center"/>
    </xf>
    <xf numFmtId="0" fontId="7" fillId="12" borderId="10" xfId="1" applyFont="1" applyFill="1" applyBorder="1" applyAlignment="1">
      <alignment horizontal="justify" vertical="center" wrapText="1"/>
    </xf>
    <xf numFmtId="9" fontId="7" fillId="6" borderId="13" xfId="1" applyNumberFormat="1" applyFont="1" applyFill="1" applyBorder="1" applyAlignment="1">
      <alignment horizontal="justify" vertical="center" wrapText="1"/>
    </xf>
    <xf numFmtId="0" fontId="7" fillId="6" borderId="0" xfId="1" applyFont="1" applyFill="1" applyAlignment="1">
      <alignment horizontal="justify" vertical="center" wrapText="1"/>
    </xf>
    <xf numFmtId="0" fontId="31" fillId="6" borderId="28" xfId="1" applyFont="1" applyFill="1" applyBorder="1" applyAlignment="1">
      <alignment horizontal="justify" vertical="center" wrapText="1"/>
    </xf>
    <xf numFmtId="9" fontId="31" fillId="6" borderId="28" xfId="1" applyNumberFormat="1" applyFont="1" applyFill="1" applyBorder="1" applyAlignment="1">
      <alignment horizontal="center" vertical="center" wrapText="1"/>
    </xf>
    <xf numFmtId="166" fontId="7" fillId="0" borderId="21" xfId="16" applyNumberFormat="1" applyFont="1" applyBorder="1" applyAlignment="1">
      <alignment horizontal="center" vertical="center" wrapText="1"/>
    </xf>
    <xf numFmtId="166" fontId="7" fillId="0" borderId="23" xfId="16" applyNumberFormat="1" applyFont="1" applyBorder="1" applyAlignment="1">
      <alignment horizontal="center" vertical="center" wrapText="1"/>
    </xf>
    <xf numFmtId="10" fontId="11" fillId="6" borderId="13" xfId="1" applyNumberFormat="1" applyFont="1" applyFill="1" applyBorder="1" applyAlignment="1">
      <alignment horizontal="center" vertical="center" wrapText="1"/>
    </xf>
    <xf numFmtId="10" fontId="11" fillId="6" borderId="13" xfId="1" applyNumberFormat="1" applyFont="1" applyFill="1" applyBorder="1"/>
    <xf numFmtId="0" fontId="10" fillId="3" borderId="10" xfId="1" applyFont="1" applyFill="1" applyBorder="1" applyAlignment="1">
      <alignment horizontal="justify" vertical="center" wrapText="1"/>
    </xf>
    <xf numFmtId="0" fontId="10" fillId="3" borderId="28" xfId="1" applyFont="1" applyFill="1" applyBorder="1" applyAlignment="1">
      <alignment horizontal="justify" vertical="center" wrapText="1"/>
    </xf>
    <xf numFmtId="0" fontId="7" fillId="6" borderId="10" xfId="1" applyFont="1" applyFill="1" applyBorder="1" applyAlignment="1">
      <alignment horizontal="justify" vertical="center" wrapText="1"/>
    </xf>
    <xf numFmtId="0" fontId="7" fillId="6" borderId="28" xfId="1" applyFont="1" applyFill="1" applyBorder="1" applyAlignment="1">
      <alignment horizontal="justify" vertical="center" wrapText="1"/>
    </xf>
    <xf numFmtId="10" fontId="11" fillId="6" borderId="28" xfId="1" applyNumberFormat="1" applyFont="1" applyFill="1" applyBorder="1" applyAlignment="1">
      <alignment horizontal="center" vertical="center" wrapText="1"/>
    </xf>
    <xf numFmtId="10" fontId="11" fillId="6" borderId="28" xfId="1" applyNumberFormat="1" applyFont="1" applyFill="1" applyBorder="1"/>
    <xf numFmtId="165" fontId="7" fillId="0" borderId="10" xfId="1" applyNumberFormat="1" applyBorder="1" applyAlignment="1">
      <alignment horizontal="center" vertical="center" wrapText="1"/>
    </xf>
    <xf numFmtId="165" fontId="7" fillId="0" borderId="13" xfId="1" applyNumberFormat="1" applyBorder="1" applyAlignment="1">
      <alignment horizontal="center" vertical="center" wrapText="1"/>
    </xf>
    <xf numFmtId="0" fontId="36" fillId="3" borderId="28" xfId="1" applyFont="1" applyFill="1" applyBorder="1" applyAlignment="1">
      <alignment horizontal="justify" vertical="center" wrapText="1"/>
    </xf>
    <xf numFmtId="0" fontId="11" fillId="3" borderId="28" xfId="1" applyFont="1" applyFill="1" applyBorder="1" applyAlignment="1">
      <alignment horizontal="justify" vertical="center" wrapText="1"/>
    </xf>
    <xf numFmtId="10" fontId="11" fillId="6" borderId="10" xfId="1" applyNumberFormat="1" applyFont="1" applyFill="1" applyBorder="1" applyAlignment="1">
      <alignment horizontal="center" vertical="center" wrapText="1"/>
    </xf>
    <xf numFmtId="10" fontId="12" fillId="6" borderId="28" xfId="1" applyNumberFormat="1" applyFont="1" applyFill="1" applyBorder="1" applyAlignment="1">
      <alignment horizontal="center" vertical="center" wrapText="1"/>
    </xf>
    <xf numFmtId="41" fontId="11" fillId="6" borderId="10" xfId="27" applyFont="1" applyFill="1" applyBorder="1" applyAlignment="1">
      <alignment horizontal="center" vertical="center" wrapText="1"/>
    </xf>
    <xf numFmtId="10" fontId="34" fillId="6" borderId="10" xfId="1" applyNumberFormat="1" applyFont="1" applyFill="1" applyBorder="1" applyAlignment="1">
      <alignment horizontal="center" vertical="center" wrapText="1"/>
    </xf>
    <xf numFmtId="10" fontId="34" fillId="6" borderId="13" xfId="1" applyNumberFormat="1" applyFont="1" applyFill="1" applyBorder="1" applyAlignment="1">
      <alignment horizontal="center" vertical="center" wrapText="1"/>
    </xf>
    <xf numFmtId="10" fontId="11" fillId="6" borderId="10" xfId="1" applyNumberFormat="1" applyFont="1" applyFill="1" applyBorder="1"/>
    <xf numFmtId="0" fontId="11" fillId="3" borderId="10" xfId="1" applyFont="1" applyFill="1" applyBorder="1" applyAlignment="1">
      <alignment horizontal="justify" vertical="center" wrapText="1"/>
    </xf>
    <xf numFmtId="0" fontId="11" fillId="3" borderId="13" xfId="1" applyFont="1" applyFill="1" applyBorder="1" applyAlignment="1">
      <alignment horizontal="justify" vertical="center" wrapText="1"/>
    </xf>
    <xf numFmtId="10" fontId="33" fillId="6" borderId="13" xfId="1" applyNumberFormat="1" applyFont="1" applyFill="1" applyBorder="1" applyAlignment="1">
      <alignment horizontal="center" vertical="center" wrapText="1"/>
    </xf>
    <xf numFmtId="10" fontId="33" fillId="6" borderId="13" xfId="1" applyNumberFormat="1" applyFont="1" applyFill="1" applyBorder="1"/>
    <xf numFmtId="10" fontId="32" fillId="6" borderId="13" xfId="1" applyNumberFormat="1" applyFont="1" applyFill="1" applyBorder="1" applyAlignment="1">
      <alignment horizontal="center" vertical="center" wrapText="1"/>
    </xf>
    <xf numFmtId="10" fontId="32" fillId="6" borderId="13" xfId="1" applyNumberFormat="1" applyFont="1" applyFill="1" applyBorder="1"/>
    <xf numFmtId="165" fontId="13" fillId="6" borderId="28" xfId="17" applyNumberFormat="1" applyFont="1" applyFill="1" applyBorder="1" applyAlignment="1">
      <alignment horizontal="center" vertical="center" wrapText="1"/>
    </xf>
    <xf numFmtId="0" fontId="27" fillId="23" borderId="9" xfId="1" applyFont="1" applyFill="1" applyBorder="1" applyAlignment="1">
      <alignment horizontal="center" vertical="center"/>
    </xf>
    <xf numFmtId="0" fontId="27" fillId="23" borderId="12" xfId="1" applyFont="1" applyFill="1" applyBorder="1" applyAlignment="1">
      <alignment horizontal="center" vertical="center"/>
    </xf>
    <xf numFmtId="10" fontId="13" fillId="10" borderId="28" xfId="1" applyNumberFormat="1" applyFont="1" applyFill="1" applyBorder="1" applyAlignment="1">
      <alignment horizontal="center" vertical="center" wrapText="1"/>
    </xf>
    <xf numFmtId="0" fontId="12" fillId="17" borderId="9" xfId="1" applyFont="1" applyFill="1" applyBorder="1" applyAlignment="1">
      <alignment horizontal="center" vertical="center" wrapText="1"/>
    </xf>
    <xf numFmtId="0" fontId="12" fillId="17" borderId="4" xfId="1" applyFont="1" applyFill="1" applyBorder="1" applyAlignment="1">
      <alignment horizontal="center" vertical="center" wrapText="1"/>
    </xf>
    <xf numFmtId="0" fontId="12" fillId="17" borderId="12" xfId="1" applyFont="1" applyFill="1" applyBorder="1" applyAlignment="1">
      <alignment horizontal="center" vertical="center" wrapText="1"/>
    </xf>
    <xf numFmtId="0" fontId="13" fillId="0" borderId="28" xfId="1" applyFont="1" applyBorder="1" applyAlignment="1">
      <alignment horizontal="center" vertical="center"/>
    </xf>
    <xf numFmtId="0" fontId="12" fillId="0" borderId="28" xfId="1" applyFont="1" applyBorder="1" applyAlignment="1">
      <alignment horizontal="center" vertical="center"/>
    </xf>
    <xf numFmtId="10" fontId="32" fillId="6" borderId="10" xfId="1" applyNumberFormat="1" applyFont="1" applyFill="1" applyBorder="1" applyAlignment="1">
      <alignment horizontal="center" vertical="center" wrapText="1"/>
    </xf>
    <xf numFmtId="10" fontId="32" fillId="6" borderId="10" xfId="1" applyNumberFormat="1" applyFont="1" applyFill="1" applyBorder="1"/>
    <xf numFmtId="0" fontId="16" fillId="23" borderId="9" xfId="1" applyFont="1" applyFill="1" applyBorder="1" applyAlignment="1">
      <alignment horizontal="justify" vertical="center"/>
    </xf>
    <xf numFmtId="0" fontId="16" fillId="23" borderId="4" xfId="1" applyFont="1" applyFill="1" applyBorder="1" applyAlignment="1">
      <alignment horizontal="justify" vertical="center"/>
    </xf>
    <xf numFmtId="0" fontId="16" fillId="23" borderId="12" xfId="1" applyFont="1" applyFill="1" applyBorder="1" applyAlignment="1">
      <alignment horizontal="justify" vertical="center"/>
    </xf>
    <xf numFmtId="0" fontId="12" fillId="19" borderId="9" xfId="1" applyFont="1" applyFill="1" applyBorder="1" applyAlignment="1">
      <alignment horizontal="center" vertical="center" wrapText="1"/>
    </xf>
    <xf numFmtId="0" fontId="12" fillId="19" borderId="4" xfId="1" applyFont="1" applyFill="1" applyBorder="1" applyAlignment="1">
      <alignment horizontal="center" vertical="center" wrapText="1"/>
    </xf>
    <xf numFmtId="0" fontId="12" fillId="19" borderId="12" xfId="1" applyFont="1" applyFill="1" applyBorder="1" applyAlignment="1">
      <alignment horizontal="center" vertical="center" wrapText="1"/>
    </xf>
    <xf numFmtId="0" fontId="13" fillId="7" borderId="29" xfId="1" applyFont="1" applyFill="1" applyBorder="1" applyAlignment="1">
      <alignment horizontal="center" vertical="center" wrapText="1"/>
    </xf>
    <xf numFmtId="0" fontId="13" fillId="7" borderId="28" xfId="1" applyFont="1" applyFill="1" applyBorder="1" applyAlignment="1">
      <alignment horizontal="center" vertical="center" wrapText="1"/>
    </xf>
    <xf numFmtId="0" fontId="13" fillId="7" borderId="3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9" borderId="12" xfId="1" applyFont="1" applyFill="1" applyBorder="1" applyAlignment="1">
      <alignment horizontal="center" vertical="center" wrapText="1"/>
    </xf>
    <xf numFmtId="170" fontId="13" fillId="6" borderId="13" xfId="27" applyNumberFormat="1" applyFont="1" applyFill="1" applyBorder="1" applyAlignment="1">
      <alignment horizontal="center" vertical="center" wrapText="1"/>
    </xf>
    <xf numFmtId="10" fontId="13" fillId="6" borderId="13" xfId="1" applyNumberFormat="1" applyFont="1" applyFill="1" applyBorder="1" applyAlignment="1">
      <alignment horizontal="center" vertical="center" wrapText="1"/>
    </xf>
    <xf numFmtId="0" fontId="8" fillId="0" borderId="28" xfId="1" applyFont="1" applyBorder="1" applyAlignment="1">
      <alignment horizontal="center" vertical="center"/>
    </xf>
    <xf numFmtId="10" fontId="11" fillId="6" borderId="28" xfId="1" applyNumberFormat="1" applyFont="1" applyFill="1" applyBorder="1" applyAlignment="1">
      <alignment horizontal="center" vertical="center"/>
    </xf>
    <xf numFmtId="165" fontId="35" fillId="25" borderId="13" xfId="1" applyNumberFormat="1" applyFont="1" applyFill="1" applyBorder="1" applyAlignment="1">
      <alignment horizontal="center" vertical="center"/>
    </xf>
    <xf numFmtId="10" fontId="35" fillId="25" borderId="28" xfId="1" applyNumberFormat="1" applyFont="1" applyFill="1" applyBorder="1" applyAlignment="1">
      <alignment horizontal="center" vertical="center"/>
    </xf>
    <xf numFmtId="0" fontId="12" fillId="21" borderId="9" xfId="1" applyFont="1" applyFill="1" applyBorder="1" applyAlignment="1">
      <alignment horizontal="center" vertical="center" wrapText="1"/>
    </xf>
    <xf numFmtId="0" fontId="12" fillId="21" borderId="4" xfId="1" applyFont="1" applyFill="1" applyBorder="1" applyAlignment="1">
      <alignment horizontal="center" vertical="center" wrapText="1"/>
    </xf>
    <xf numFmtId="0" fontId="12" fillId="21" borderId="12" xfId="1" applyFont="1" applyFill="1" applyBorder="1" applyAlignment="1">
      <alignment horizontal="center" vertical="center" wrapText="1"/>
    </xf>
    <xf numFmtId="0" fontId="36" fillId="3" borderId="13" xfId="1" applyFont="1" applyFill="1" applyBorder="1" applyAlignment="1">
      <alignment horizontal="justify" vertical="center" wrapText="1"/>
    </xf>
    <xf numFmtId="0" fontId="12" fillId="2" borderId="6"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15" xfId="1" applyFont="1" applyFill="1" applyBorder="1" applyAlignment="1">
      <alignment horizontal="center" vertical="center"/>
    </xf>
    <xf numFmtId="0" fontId="12" fillId="18" borderId="40" xfId="1" applyFont="1" applyFill="1" applyBorder="1" applyAlignment="1">
      <alignment horizontal="justify" vertical="center"/>
    </xf>
    <xf numFmtId="0" fontId="12" fillId="18" borderId="2" xfId="1" applyFont="1" applyFill="1" applyBorder="1" applyAlignment="1">
      <alignment horizontal="justify" vertical="center"/>
    </xf>
    <xf numFmtId="0" fontId="12" fillId="18" borderId="3" xfId="1" applyFont="1" applyFill="1" applyBorder="1" applyAlignment="1">
      <alignment horizontal="justify" vertical="center"/>
    </xf>
    <xf numFmtId="0" fontId="12" fillId="18" borderId="27" xfId="1" applyFont="1" applyFill="1" applyBorder="1" applyAlignment="1">
      <alignment horizontal="justify" vertical="center"/>
    </xf>
    <xf numFmtId="0" fontId="9" fillId="2" borderId="10" xfId="1" applyFont="1" applyFill="1" applyBorder="1" applyAlignment="1">
      <alignment horizontal="center" vertical="center" wrapText="1"/>
    </xf>
    <xf numFmtId="0" fontId="12" fillId="23" borderId="9" xfId="1" applyFont="1" applyFill="1" applyBorder="1" applyAlignment="1">
      <alignment horizontal="center" vertical="center" wrapText="1"/>
    </xf>
    <xf numFmtId="0" fontId="12" fillId="23" borderId="4" xfId="1" applyFont="1" applyFill="1" applyBorder="1" applyAlignment="1">
      <alignment horizontal="center" vertical="center" wrapText="1"/>
    </xf>
    <xf numFmtId="0" fontId="12" fillId="23" borderId="12" xfId="1" applyFont="1" applyFill="1" applyBorder="1" applyAlignment="1">
      <alignment horizontal="center" vertical="center" wrapText="1"/>
    </xf>
    <xf numFmtId="9" fontId="14" fillId="6" borderId="10" xfId="1" applyNumberFormat="1" applyFont="1" applyFill="1" applyBorder="1" applyAlignment="1">
      <alignment horizontal="center" vertical="center" wrapText="1"/>
    </xf>
    <xf numFmtId="10" fontId="13" fillId="6" borderId="28" xfId="1" applyNumberFormat="1" applyFont="1" applyFill="1" applyBorder="1" applyAlignment="1">
      <alignment horizontal="center" vertical="center" wrapText="1"/>
    </xf>
    <xf numFmtId="0" fontId="12" fillId="22" borderId="9" xfId="1" applyFont="1" applyFill="1" applyBorder="1" applyAlignment="1">
      <alignment horizontal="center" vertical="center" wrapText="1"/>
    </xf>
    <xf numFmtId="0" fontId="12" fillId="22" borderId="4" xfId="1" applyFont="1" applyFill="1" applyBorder="1" applyAlignment="1">
      <alignment horizontal="center" vertical="center" wrapText="1"/>
    </xf>
    <xf numFmtId="0" fontId="12" fillId="22" borderId="12" xfId="1" applyFont="1" applyFill="1" applyBorder="1" applyAlignment="1">
      <alignment horizontal="center" vertical="center" wrapText="1"/>
    </xf>
    <xf numFmtId="10" fontId="13" fillId="10" borderId="10" xfId="1" applyNumberFormat="1" applyFont="1" applyFill="1" applyBorder="1" applyAlignment="1">
      <alignment horizontal="center" vertical="center" wrapText="1"/>
    </xf>
    <xf numFmtId="0" fontId="13" fillId="11" borderId="29" xfId="1" applyFont="1" applyFill="1" applyBorder="1" applyAlignment="1">
      <alignment horizontal="center" vertical="center" wrapText="1"/>
    </xf>
    <xf numFmtId="0" fontId="13" fillId="11" borderId="28" xfId="1" applyFont="1" applyFill="1" applyBorder="1" applyAlignment="1">
      <alignment horizontal="center" vertical="center" wrapText="1"/>
    </xf>
    <xf numFmtId="0" fontId="13" fillId="11" borderId="31" xfId="1" applyFont="1" applyFill="1" applyBorder="1" applyAlignment="1">
      <alignment horizontal="center" vertical="center" wrapText="1"/>
    </xf>
    <xf numFmtId="165" fontId="11" fillId="6" borderId="28" xfId="1" applyNumberFormat="1" applyFont="1" applyFill="1" applyBorder="1" applyAlignment="1">
      <alignment horizontal="center" vertical="center"/>
    </xf>
    <xf numFmtId="10" fontId="11" fillId="6" borderId="29" xfId="1" applyNumberFormat="1" applyFont="1" applyFill="1" applyBorder="1" applyAlignment="1">
      <alignment horizontal="center" vertical="center" wrapText="1"/>
    </xf>
    <xf numFmtId="10" fontId="11" fillId="0" borderId="28" xfId="1" applyNumberFormat="1" applyFont="1" applyBorder="1" applyAlignment="1">
      <alignment horizontal="center" vertical="center" wrapText="1"/>
    </xf>
    <xf numFmtId="0" fontId="7" fillId="6" borderId="13" xfId="1" applyFont="1" applyFill="1" applyBorder="1" applyAlignment="1">
      <alignment horizontal="justify" vertical="center" wrapText="1"/>
    </xf>
    <xf numFmtId="10" fontId="16" fillId="6" borderId="28" xfId="1" applyNumberFormat="1" applyFont="1" applyFill="1" applyBorder="1" applyAlignment="1">
      <alignment horizontal="center" vertical="center" wrapText="1"/>
    </xf>
    <xf numFmtId="10" fontId="14" fillId="6" borderId="28" xfId="1" applyNumberFormat="1" applyFont="1" applyFill="1" applyBorder="1" applyAlignment="1">
      <alignment horizontal="center" vertical="center" wrapText="1"/>
    </xf>
    <xf numFmtId="10" fontId="24" fillId="6" borderId="28" xfId="1" applyNumberFormat="1" applyFont="1" applyFill="1" applyBorder="1" applyAlignment="1">
      <alignment horizontal="center" vertical="center" wrapText="1"/>
    </xf>
    <xf numFmtId="170" fontId="17" fillId="6" borderId="28" xfId="1" applyNumberFormat="1" applyFont="1" applyFill="1" applyBorder="1" applyAlignment="1">
      <alignment vertical="center" wrapText="1"/>
    </xf>
    <xf numFmtId="10" fontId="17" fillId="6" borderId="28" xfId="1" applyNumberFormat="1" applyFont="1" applyFill="1" applyBorder="1" applyAlignment="1">
      <alignment vertical="center" wrapText="1"/>
    </xf>
    <xf numFmtId="0" fontId="46" fillId="6" borderId="13" xfId="1" applyFont="1" applyFill="1" applyBorder="1" applyAlignment="1">
      <alignment horizontal="center" vertical="center" wrapText="1"/>
    </xf>
    <xf numFmtId="10" fontId="11" fillId="6" borderId="13" xfId="3" applyNumberFormat="1" applyFont="1" applyFill="1" applyBorder="1" applyAlignment="1">
      <alignment horizontal="center" vertical="center"/>
    </xf>
    <xf numFmtId="0" fontId="17" fillId="6" borderId="28" xfId="1" applyFont="1" applyFill="1" applyBorder="1" applyAlignment="1">
      <alignment horizontal="justify" vertical="center" wrapText="1"/>
    </xf>
    <xf numFmtId="10" fontId="11" fillId="6" borderId="10" xfId="1" applyNumberFormat="1" applyFont="1" applyFill="1" applyBorder="1" applyAlignment="1">
      <alignment horizontal="center" vertical="center"/>
    </xf>
    <xf numFmtId="2" fontId="11" fillId="6" borderId="28" xfId="1" applyNumberFormat="1" applyFont="1" applyFill="1" applyBorder="1" applyAlignment="1">
      <alignment horizontal="center" vertical="center"/>
    </xf>
    <xf numFmtId="2" fontId="11" fillId="0" borderId="28" xfId="1" applyNumberFormat="1" applyFont="1" applyBorder="1" applyAlignment="1">
      <alignment horizontal="center" vertical="center"/>
    </xf>
    <xf numFmtId="10" fontId="13" fillId="6" borderId="28" xfId="3" applyNumberFormat="1" applyFont="1" applyFill="1" applyBorder="1" applyAlignment="1">
      <alignment horizontal="center" vertical="center" wrapText="1"/>
    </xf>
    <xf numFmtId="10" fontId="15" fillId="6" borderId="29" xfId="1" applyNumberFormat="1" applyFont="1" applyFill="1" applyBorder="1" applyAlignment="1">
      <alignment horizontal="center" vertical="center" wrapText="1"/>
    </xf>
    <xf numFmtId="10" fontId="17" fillId="6" borderId="2" xfId="1" applyNumberFormat="1" applyFont="1" applyFill="1" applyBorder="1" applyAlignment="1">
      <alignment horizontal="center" vertical="center" wrapText="1"/>
    </xf>
    <xf numFmtId="10" fontId="13" fillId="6" borderId="10" xfId="1" applyNumberFormat="1" applyFont="1" applyFill="1" applyBorder="1" applyAlignment="1">
      <alignment horizontal="center" vertical="center" wrapText="1"/>
    </xf>
    <xf numFmtId="10" fontId="15" fillId="12" borderId="28" xfId="1" applyNumberFormat="1" applyFont="1" applyFill="1" applyBorder="1" applyAlignment="1">
      <alignment horizontal="center" vertical="center"/>
    </xf>
    <xf numFmtId="10" fontId="35" fillId="25" borderId="13" xfId="1" applyNumberFormat="1" applyFont="1" applyFill="1" applyBorder="1" applyAlignment="1">
      <alignment horizontal="center" vertical="center"/>
    </xf>
    <xf numFmtId="0" fontId="8" fillId="2" borderId="40"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7" fillId="2" borderId="40" xfId="1" applyFill="1" applyBorder="1" applyAlignment="1">
      <alignment horizontal="center" vertical="center" wrapText="1"/>
    </xf>
    <xf numFmtId="0" fontId="7" fillId="2" borderId="2" xfId="1" applyFill="1" applyBorder="1" applyAlignment="1">
      <alignment horizontal="center" vertical="center" wrapText="1"/>
    </xf>
    <xf numFmtId="0" fontId="7" fillId="2" borderId="14" xfId="1" applyFill="1" applyBorder="1" applyAlignment="1">
      <alignment horizontal="center" vertical="center" wrapText="1"/>
    </xf>
    <xf numFmtId="0" fontId="7" fillId="2" borderId="40" xfId="1" applyFill="1" applyBorder="1" applyAlignment="1">
      <alignment horizontal="center" vertical="center"/>
    </xf>
    <xf numFmtId="0" fontId="7" fillId="2" borderId="2" xfId="1" applyFill="1" applyBorder="1" applyAlignment="1">
      <alignment horizontal="center" vertical="center"/>
    </xf>
    <xf numFmtId="0" fontId="7" fillId="2" borderId="14" xfId="1" applyFill="1" applyBorder="1" applyAlignment="1">
      <alignment horizontal="center" vertical="center"/>
    </xf>
    <xf numFmtId="0" fontId="7" fillId="20" borderId="28" xfId="1" applyFont="1" applyFill="1" applyBorder="1" applyAlignment="1">
      <alignment horizontal="center" vertical="center" wrapText="1"/>
    </xf>
    <xf numFmtId="10" fontId="24" fillId="10" borderId="28" xfId="1" applyNumberFormat="1" applyFont="1" applyFill="1" applyBorder="1" applyAlignment="1">
      <alignment horizontal="center" vertical="center" wrapText="1"/>
    </xf>
    <xf numFmtId="10" fontId="16" fillId="6" borderId="10" xfId="1" applyNumberFormat="1" applyFont="1" applyFill="1" applyBorder="1" applyAlignment="1">
      <alignment horizontal="center" vertical="center" wrapText="1"/>
    </xf>
    <xf numFmtId="10" fontId="13" fillId="6" borderId="28" xfId="1" applyNumberFormat="1" applyFont="1" applyFill="1" applyBorder="1" applyAlignment="1">
      <alignment horizontal="center" vertical="center"/>
    </xf>
    <xf numFmtId="10" fontId="14" fillId="10" borderId="28" xfId="1" applyNumberFormat="1" applyFont="1" applyFill="1" applyBorder="1" applyAlignment="1">
      <alignment horizontal="center" vertical="center" wrapText="1"/>
    </xf>
    <xf numFmtId="0" fontId="27" fillId="14" borderId="9" xfId="1" applyFont="1" applyFill="1" applyBorder="1" applyAlignment="1">
      <alignment horizontal="justify" vertical="center"/>
    </xf>
    <xf numFmtId="0" fontId="27" fillId="14" borderId="12" xfId="1" applyFont="1" applyFill="1" applyBorder="1" applyAlignment="1">
      <alignment horizontal="justify" vertical="center"/>
    </xf>
    <xf numFmtId="9" fontId="11" fillId="14" borderId="10" xfId="1" applyNumberFormat="1" applyFont="1" applyFill="1" applyBorder="1" applyAlignment="1">
      <alignment horizontal="center" vertical="center" wrapText="1"/>
    </xf>
    <xf numFmtId="9" fontId="11" fillId="14" borderId="13" xfId="1" applyNumberFormat="1" applyFont="1" applyFill="1" applyBorder="1" applyAlignment="1">
      <alignment horizontal="center" vertical="center" wrapText="1"/>
    </xf>
    <xf numFmtId="10" fontId="32" fillId="6" borderId="28" xfId="1" applyNumberFormat="1" applyFont="1" applyFill="1" applyBorder="1" applyAlignment="1">
      <alignment horizontal="center" vertical="center" wrapText="1"/>
    </xf>
    <xf numFmtId="10" fontId="32" fillId="6" borderId="28" xfId="1" applyNumberFormat="1" applyFont="1" applyFill="1" applyBorder="1"/>
    <xf numFmtId="10" fontId="33" fillId="6" borderId="28" xfId="1" applyNumberFormat="1" applyFont="1" applyFill="1" applyBorder="1" applyAlignment="1">
      <alignment horizontal="center" vertical="center" wrapText="1"/>
    </xf>
    <xf numFmtId="10" fontId="33" fillId="6" borderId="28" xfId="1" applyNumberFormat="1" applyFont="1" applyFill="1" applyBorder="1"/>
    <xf numFmtId="10" fontId="43" fillId="6" borderId="28" xfId="1" applyNumberFormat="1" applyFont="1" applyFill="1" applyBorder="1" applyAlignment="1">
      <alignment horizontal="center" vertical="center" wrapText="1"/>
    </xf>
    <xf numFmtId="10" fontId="43" fillId="6" borderId="28" xfId="1" applyNumberFormat="1" applyFont="1" applyFill="1" applyBorder="1"/>
    <xf numFmtId="170" fontId="13" fillId="6" borderId="28" xfId="27" applyNumberFormat="1" applyFont="1" applyFill="1" applyBorder="1" applyAlignment="1">
      <alignment horizontal="justify" vertical="center" wrapText="1"/>
    </xf>
    <xf numFmtId="0" fontId="16" fillId="15" borderId="9" xfId="1" applyFont="1" applyFill="1" applyBorder="1" applyAlignment="1">
      <alignment horizontal="justify" vertical="center"/>
    </xf>
    <xf numFmtId="0" fontId="16" fillId="15" borderId="12" xfId="1" applyFont="1" applyFill="1" applyBorder="1" applyAlignment="1">
      <alignment horizontal="justify" vertical="center"/>
    </xf>
    <xf numFmtId="9" fontId="17" fillId="20" borderId="28" xfId="1" applyNumberFormat="1" applyFont="1" applyFill="1" applyBorder="1" applyAlignment="1">
      <alignment horizontal="center" vertical="center" wrapText="1"/>
    </xf>
    <xf numFmtId="0" fontId="13" fillId="3" borderId="28" xfId="1" applyFont="1" applyFill="1" applyBorder="1" applyAlignment="1">
      <alignment horizontal="justify" vertical="center" wrapText="1"/>
    </xf>
    <xf numFmtId="0" fontId="13" fillId="3" borderId="13" xfId="1" applyFont="1" applyFill="1" applyBorder="1" applyAlignment="1">
      <alignment horizontal="justify" vertical="center" wrapText="1"/>
    </xf>
    <xf numFmtId="9" fontId="17" fillId="20" borderId="13" xfId="1" applyNumberFormat="1" applyFont="1" applyFill="1" applyBorder="1" applyAlignment="1">
      <alignment horizontal="center" vertical="center" wrapText="1"/>
    </xf>
    <xf numFmtId="0" fontId="27" fillId="26" borderId="9" xfId="1" applyFont="1" applyFill="1" applyBorder="1" applyAlignment="1">
      <alignment horizontal="center" vertical="center"/>
    </xf>
    <xf numFmtId="0" fontId="27" fillId="26" borderId="4" xfId="1" applyFont="1" applyFill="1" applyBorder="1" applyAlignment="1">
      <alignment horizontal="center" vertical="center"/>
    </xf>
    <xf numFmtId="0" fontId="27" fillId="26" borderId="12" xfId="1" applyFont="1" applyFill="1" applyBorder="1" applyAlignment="1">
      <alignment horizontal="center" vertical="center"/>
    </xf>
    <xf numFmtId="9" fontId="13" fillId="6" borderId="28" xfId="17" applyFont="1" applyFill="1" applyBorder="1" applyAlignment="1">
      <alignment horizontal="center" vertical="center" wrapText="1"/>
    </xf>
    <xf numFmtId="9" fontId="13" fillId="6" borderId="13" xfId="17" applyFont="1" applyFill="1" applyBorder="1" applyAlignment="1">
      <alignment horizontal="center" vertical="center" wrapText="1"/>
    </xf>
    <xf numFmtId="172" fontId="17" fillId="6" borderId="28" xfId="1" applyNumberFormat="1" applyFont="1" applyFill="1" applyBorder="1" applyAlignment="1">
      <alignment vertical="center" wrapText="1"/>
    </xf>
    <xf numFmtId="10" fontId="13" fillId="6" borderId="13" xfId="17" applyNumberFormat="1" applyFont="1" applyFill="1" applyBorder="1" applyAlignment="1">
      <alignment horizontal="center" vertical="center" wrapText="1"/>
    </xf>
    <xf numFmtId="10" fontId="16" fillId="6" borderId="13" xfId="1" applyNumberFormat="1" applyFont="1" applyFill="1" applyBorder="1" applyAlignment="1">
      <alignment horizontal="center" vertical="center" wrapText="1"/>
    </xf>
    <xf numFmtId="0" fontId="16" fillId="17" borderId="9" xfId="1" applyFont="1" applyFill="1" applyBorder="1" applyAlignment="1">
      <alignment horizontal="center" vertical="center"/>
    </xf>
    <xf numFmtId="0" fontId="16" fillId="17" borderId="4" xfId="1" applyFont="1" applyFill="1" applyBorder="1" applyAlignment="1">
      <alignment horizontal="center" vertical="center"/>
    </xf>
    <xf numFmtId="0" fontId="16" fillId="17" borderId="12" xfId="1" applyFont="1" applyFill="1" applyBorder="1" applyAlignment="1">
      <alignment horizontal="center" vertical="center"/>
    </xf>
    <xf numFmtId="0" fontId="13" fillId="3" borderId="10" xfId="1" applyFont="1" applyFill="1" applyBorder="1" applyAlignment="1">
      <alignment horizontal="justify" vertical="center" wrapText="1"/>
    </xf>
    <xf numFmtId="9" fontId="7" fillId="20" borderId="10" xfId="1" applyNumberFormat="1" applyFont="1" applyFill="1" applyBorder="1" applyAlignment="1">
      <alignment horizontal="center" vertical="center" wrapText="1"/>
    </xf>
    <xf numFmtId="9" fontId="7" fillId="20" borderId="28" xfId="1" applyNumberFormat="1" applyFont="1" applyFill="1" applyBorder="1" applyAlignment="1">
      <alignment horizontal="center" vertical="center" wrapText="1"/>
    </xf>
    <xf numFmtId="10" fontId="11" fillId="0" borderId="29" xfId="1" applyNumberFormat="1" applyFont="1" applyBorder="1" applyAlignment="1">
      <alignment horizontal="center" vertical="center" wrapText="1"/>
    </xf>
    <xf numFmtId="10" fontId="11" fillId="6" borderId="31" xfId="1" applyNumberFormat="1" applyFont="1" applyFill="1" applyBorder="1" applyAlignment="1">
      <alignment horizontal="center" vertical="center" wrapText="1"/>
    </xf>
    <xf numFmtId="10" fontId="11" fillId="0" borderId="31" xfId="1" applyNumberFormat="1" applyFont="1" applyBorder="1" applyAlignment="1">
      <alignment horizontal="center" vertical="center" wrapText="1"/>
    </xf>
    <xf numFmtId="10" fontId="13" fillId="6" borderId="28" xfId="17" applyNumberFormat="1" applyFont="1" applyFill="1" applyBorder="1" applyAlignment="1">
      <alignment horizontal="center" vertical="center" wrapText="1"/>
    </xf>
    <xf numFmtId="10" fontId="17" fillId="6" borderId="28" xfId="1" applyNumberFormat="1" applyFont="1" applyFill="1" applyBorder="1" applyAlignment="1">
      <alignment horizontal="center" vertical="center" wrapText="1"/>
    </xf>
    <xf numFmtId="10" fontId="41" fillId="6" borderId="28" xfId="1" applyNumberFormat="1" applyFont="1" applyFill="1" applyBorder="1" applyAlignment="1">
      <alignment horizontal="center" vertical="center"/>
    </xf>
    <xf numFmtId="10" fontId="41" fillId="6" borderId="13" xfId="1" applyNumberFormat="1" applyFont="1" applyFill="1" applyBorder="1" applyAlignment="1">
      <alignment horizontal="center" vertical="center" wrapText="1"/>
    </xf>
    <xf numFmtId="10" fontId="42" fillId="6" borderId="28" xfId="1" applyNumberFormat="1" applyFont="1" applyFill="1" applyBorder="1" applyAlignment="1">
      <alignment horizontal="center" vertical="center" wrapText="1"/>
    </xf>
    <xf numFmtId="166" fontId="7" fillId="0" borderId="18" xfId="16" applyNumberFormat="1" applyFont="1" applyBorder="1" applyAlignment="1">
      <alignment horizontal="center" vertical="center" wrapText="1"/>
    </xf>
    <xf numFmtId="166" fontId="7" fillId="0" borderId="39" xfId="16" applyNumberFormat="1" applyFont="1" applyBorder="1" applyAlignment="1">
      <alignment horizontal="center" vertical="center" wrapText="1"/>
    </xf>
    <xf numFmtId="166" fontId="7" fillId="0" borderId="35" xfId="16" applyNumberFormat="1" applyFont="1" applyBorder="1" applyAlignment="1">
      <alignment horizontal="center" vertical="center" wrapText="1"/>
    </xf>
    <xf numFmtId="166" fontId="7" fillId="0" borderId="37" xfId="16" applyNumberFormat="1" applyFont="1" applyBorder="1" applyAlignment="1">
      <alignment horizontal="center" vertical="center" wrapText="1"/>
    </xf>
    <xf numFmtId="166" fontId="7" fillId="0" borderId="25" xfId="16" applyNumberFormat="1" applyFont="1" applyBorder="1" applyAlignment="1">
      <alignment horizontal="center" vertical="center" wrapText="1"/>
    </xf>
    <xf numFmtId="0" fontId="12" fillId="8" borderId="6"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2" fillId="8" borderId="15" xfId="1" applyFont="1" applyFill="1" applyBorder="1" applyAlignment="1">
      <alignment horizontal="center" vertical="center" wrapText="1"/>
    </xf>
    <xf numFmtId="0" fontId="18" fillId="2" borderId="31"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18" fillId="2" borderId="14" xfId="1" applyFont="1" applyFill="1" applyBorder="1" applyAlignment="1">
      <alignment horizontal="center" vertical="center" wrapText="1"/>
    </xf>
    <xf numFmtId="0" fontId="12" fillId="20" borderId="9" xfId="1" applyFont="1" applyFill="1" applyBorder="1" applyAlignment="1">
      <alignment horizontal="center" vertical="center" wrapText="1"/>
    </xf>
    <xf numFmtId="0" fontId="12" fillId="20" borderId="4" xfId="1" applyFont="1" applyFill="1" applyBorder="1" applyAlignment="1">
      <alignment horizontal="center" vertical="center" wrapText="1"/>
    </xf>
    <xf numFmtId="0" fontId="12" fillId="20" borderId="12" xfId="1" applyFont="1" applyFill="1" applyBorder="1" applyAlignment="1">
      <alignment horizontal="center" vertical="center" wrapText="1"/>
    </xf>
    <xf numFmtId="10" fontId="15" fillId="6" borderId="31" xfId="1" applyNumberFormat="1" applyFont="1" applyFill="1" applyBorder="1" applyAlignment="1">
      <alignment horizontal="center" vertical="center" wrapText="1"/>
    </xf>
    <xf numFmtId="10" fontId="15" fillId="6" borderId="28" xfId="1" applyNumberFormat="1" applyFont="1" applyFill="1" applyBorder="1" applyAlignment="1">
      <alignment horizontal="center" vertical="center" wrapText="1"/>
    </xf>
    <xf numFmtId="0" fontId="12" fillId="13" borderId="9" xfId="1" applyFont="1" applyFill="1" applyBorder="1" applyAlignment="1">
      <alignment horizontal="center" vertical="center" wrapText="1"/>
    </xf>
    <xf numFmtId="0" fontId="12" fillId="13" borderId="4" xfId="1" applyFont="1" applyFill="1" applyBorder="1" applyAlignment="1">
      <alignment horizontal="center" vertical="center" wrapText="1"/>
    </xf>
    <xf numFmtId="0" fontId="12" fillId="13" borderId="12" xfId="1" applyFont="1" applyFill="1" applyBorder="1" applyAlignment="1">
      <alignment horizontal="center" vertical="center" wrapText="1"/>
    </xf>
    <xf numFmtId="0" fontId="9" fillId="6" borderId="13" xfId="1" applyFont="1" applyFill="1" applyBorder="1" applyAlignment="1">
      <alignment horizontal="center" vertical="center" wrapText="1"/>
    </xf>
    <xf numFmtId="0" fontId="12" fillId="24" borderId="9" xfId="1" applyFont="1" applyFill="1" applyBorder="1" applyAlignment="1">
      <alignment horizontal="center" vertical="center" wrapText="1"/>
    </xf>
    <xf numFmtId="0" fontId="12" fillId="24" borderId="4" xfId="1" applyFont="1" applyFill="1" applyBorder="1" applyAlignment="1">
      <alignment horizontal="center" vertical="center" wrapText="1"/>
    </xf>
    <xf numFmtId="0" fontId="12" fillId="24" borderId="41" xfId="1" applyFont="1" applyFill="1" applyBorder="1" applyAlignment="1">
      <alignment horizontal="center" vertical="center" wrapText="1"/>
    </xf>
    <xf numFmtId="0" fontId="12" fillId="24" borderId="12" xfId="1" applyFont="1" applyFill="1" applyBorder="1" applyAlignment="1">
      <alignment horizontal="center" vertical="center" wrapText="1"/>
    </xf>
  </cellXfs>
  <cellStyles count="35">
    <cellStyle name="Euro" xfId="19" xr:uid="{00000000-0005-0000-0000-000000000000}"/>
    <cellStyle name="Millares [0]" xfId="27" builtinId="6"/>
    <cellStyle name="Millares 2" xfId="5" xr:uid="{00000000-0005-0000-0000-000002000000}"/>
    <cellStyle name="Millares 2 2" xfId="2" xr:uid="{00000000-0005-0000-0000-000003000000}"/>
    <cellStyle name="Millares 2 2 2" xfId="11" xr:uid="{00000000-0005-0000-0000-000004000000}"/>
    <cellStyle name="Millares 2 2 3" xfId="16" xr:uid="{00000000-0005-0000-0000-000005000000}"/>
    <cellStyle name="Millares 3" xfId="6" xr:uid="{00000000-0005-0000-0000-000006000000}"/>
    <cellStyle name="Millares 4" xfId="10" xr:uid="{00000000-0005-0000-0000-000007000000}"/>
    <cellStyle name="Millares 5" xfId="12" xr:uid="{00000000-0005-0000-0000-000008000000}"/>
    <cellStyle name="Millares 5 2" xfId="29" xr:uid="{00000000-0005-0000-0000-000009000000}"/>
    <cellStyle name="Millares 6" xfId="13" xr:uid="{00000000-0005-0000-0000-00000A000000}"/>
    <cellStyle name="Millares 6 2" xfId="30" xr:uid="{00000000-0005-0000-0000-00000B000000}"/>
    <cellStyle name="Millares 7" xfId="14" xr:uid="{00000000-0005-0000-0000-00000C000000}"/>
    <cellStyle name="Normal" xfId="0" builtinId="0"/>
    <cellStyle name="Normal 2" xfId="1" xr:uid="{00000000-0005-0000-0000-00000E000000}"/>
    <cellStyle name="Normal 2 2" xfId="23" xr:uid="{00000000-0005-0000-0000-00000F000000}"/>
    <cellStyle name="Normal 3" xfId="8" xr:uid="{00000000-0005-0000-0000-000010000000}"/>
    <cellStyle name="Normal 3 2" xfId="15" xr:uid="{00000000-0005-0000-0000-000011000000}"/>
    <cellStyle name="Normal 4" xfId="20" xr:uid="{00000000-0005-0000-0000-000012000000}"/>
    <cellStyle name="Normal 5" xfId="21" xr:uid="{00000000-0005-0000-0000-000013000000}"/>
    <cellStyle name="Normal 5 2" xfId="34" xr:uid="{00000000-0005-0000-0000-000014000000}"/>
    <cellStyle name="Normal 6" xfId="22" xr:uid="{00000000-0005-0000-0000-000015000000}"/>
    <cellStyle name="Normal 6 2" xfId="25" xr:uid="{00000000-0005-0000-0000-000016000000}"/>
    <cellStyle name="Normal 7" xfId="31" xr:uid="{00000000-0005-0000-0000-000017000000}"/>
    <cellStyle name="Normal 8" xfId="33" xr:uid="{00000000-0005-0000-0000-000018000000}"/>
    <cellStyle name="Porcentaje" xfId="17" builtinId="5"/>
    <cellStyle name="Porcentaje 2" xfId="18" xr:uid="{00000000-0005-0000-0000-00001A000000}"/>
    <cellStyle name="Porcentaje 2 2" xfId="26" xr:uid="{00000000-0005-0000-0000-00001B000000}"/>
    <cellStyle name="Porcentaje 3" xfId="24" xr:uid="{00000000-0005-0000-0000-00001C000000}"/>
    <cellStyle name="Porcentaje 4" xfId="32" xr:uid="{00000000-0005-0000-0000-00001D000000}"/>
    <cellStyle name="Porcentual 2" xfId="3" xr:uid="{00000000-0005-0000-0000-00001E000000}"/>
    <cellStyle name="Porcentual 3" xfId="7" xr:uid="{00000000-0005-0000-0000-00001F000000}"/>
    <cellStyle name="Porcentual 3 2" xfId="4" xr:uid="{00000000-0005-0000-0000-000020000000}"/>
    <cellStyle name="Porcentual 4" xfId="9" xr:uid="{00000000-0005-0000-0000-000021000000}"/>
    <cellStyle name="Porcentual 4 2" xfId="28" xr:uid="{00000000-0005-0000-0000-000022000000}"/>
  </cellStyles>
  <dxfs count="0"/>
  <tableStyles count="0" defaultTableStyle="TableStyleMedium9" defaultPivotStyle="PivotStyleLight16"/>
  <colors>
    <mruColors>
      <color rgb="FF00CCFF"/>
      <color rgb="FF0000FF"/>
      <color rgb="FF0066FF"/>
      <color rgb="FFFFFF99"/>
      <color rgb="FF00FF00"/>
      <color rgb="FFFFCC00"/>
      <color rgb="FFFFCC6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unilibrepereira.edu.co/Revisi&#243;n%20Gerencial%20Nacional/Backup/Escritorio/COMPARTIDA/DOCUMENTOS%20PENDIENTES%2015-11-06/Varios%201/Herramientas%20y%20graficas/INDICADORES%20FINANCIERA%20Y%20REGISTRO/calculo%20ficha%20aten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datos"/>
      <sheetName val="calificación"/>
      <sheetName val="tabulación calificación"/>
      <sheetName val="Ana. Pareto"/>
    </sheetNames>
    <sheetDataSet>
      <sheetData sheetId="0">
        <row r="6">
          <cell r="CY6" t="str">
            <v>Excelente</v>
          </cell>
        </row>
        <row r="7">
          <cell r="CY7" t="str">
            <v>Bueno</v>
          </cell>
        </row>
        <row r="8">
          <cell r="CY8" t="str">
            <v>Aceptable</v>
          </cell>
        </row>
        <row r="9">
          <cell r="CY9" t="str">
            <v>Deficiente</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00FF"/>
  </sheetPr>
  <dimension ref="A1:IW503"/>
  <sheetViews>
    <sheetView tabSelected="1" zoomScale="80" zoomScaleNormal="80" zoomScaleSheetLayoutView="70" workbookViewId="0">
      <pane xSplit="2" ySplit="6" topLeftCell="C135" activePane="bottomRight" state="frozen"/>
      <selection pane="topRight" activeCell="C1" sqref="C1"/>
      <selection pane="bottomLeft" activeCell="A7" sqref="A7"/>
      <selection pane="bottomRight" activeCell="D136" sqref="D136"/>
    </sheetView>
  </sheetViews>
  <sheetFormatPr baseColWidth="10" defaultRowHeight="12.75" x14ac:dyDescent="0.2"/>
  <cols>
    <col min="1" max="1" width="25.28515625" style="111" customWidth="1"/>
    <col min="2" max="2" width="36.85546875" style="13" customWidth="1"/>
    <col min="3" max="3" width="45.42578125" style="228" customWidth="1"/>
    <col min="4" max="4" width="22.7109375" style="123" customWidth="1"/>
    <col min="5" max="12" width="10.42578125" style="27" customWidth="1"/>
    <col min="13" max="13" width="12" style="27" customWidth="1"/>
    <col min="14" max="16" width="10.42578125" style="27" customWidth="1"/>
    <col min="17" max="17" width="14.5703125" style="11" customWidth="1"/>
    <col min="18" max="20" width="11.42578125" style="1" hidden="1" customWidth="1"/>
    <col min="21" max="21" width="12.7109375" style="11" hidden="1" customWidth="1"/>
    <col min="22" max="22" width="7.42578125" style="11" customWidth="1"/>
    <col min="23" max="23" width="11.42578125" style="50"/>
    <col min="24" max="24" width="25.140625" style="1" customWidth="1"/>
    <col min="25" max="257" width="11.42578125" style="1"/>
    <col min="258" max="258" width="22.42578125" style="1" customWidth="1"/>
    <col min="259" max="259" width="39.42578125" style="1" customWidth="1"/>
    <col min="260" max="260" width="20.28515625" style="1" customWidth="1"/>
    <col min="261" max="261" width="11.7109375" style="1" customWidth="1"/>
    <col min="262" max="262" width="11.5703125" style="1" customWidth="1"/>
    <col min="263" max="263" width="10.7109375" style="1" bestFit="1" customWidth="1"/>
    <col min="264" max="264" width="10" style="1" customWidth="1"/>
    <col min="265" max="265" width="10.5703125" style="1" customWidth="1"/>
    <col min="266" max="267" width="7.7109375" style="1" customWidth="1"/>
    <col min="268" max="268" width="8.7109375" style="1" customWidth="1"/>
    <col min="269" max="270" width="7.7109375" style="1" customWidth="1"/>
    <col min="271" max="271" width="9.28515625" style="1" customWidth="1"/>
    <col min="272" max="272" width="13.5703125" style="1" customWidth="1"/>
    <col min="273" max="273" width="12.7109375" style="1" customWidth="1"/>
    <col min="274" max="278" width="0" style="1" hidden="1" customWidth="1"/>
    <col min="279" max="513" width="11.42578125" style="1"/>
    <col min="514" max="514" width="22.42578125" style="1" customWidth="1"/>
    <col min="515" max="515" width="39.42578125" style="1" customWidth="1"/>
    <col min="516" max="516" width="20.28515625" style="1" customWidth="1"/>
    <col min="517" max="517" width="11.7109375" style="1" customWidth="1"/>
    <col min="518" max="518" width="11.5703125" style="1" customWidth="1"/>
    <col min="519" max="519" width="10.7109375" style="1" bestFit="1" customWidth="1"/>
    <col min="520" max="520" width="10" style="1" customWidth="1"/>
    <col min="521" max="521" width="10.5703125" style="1" customWidth="1"/>
    <col min="522" max="523" width="7.7109375" style="1" customWidth="1"/>
    <col min="524" max="524" width="8.7109375" style="1" customWidth="1"/>
    <col min="525" max="526" width="7.7109375" style="1" customWidth="1"/>
    <col min="527" max="527" width="9.28515625" style="1" customWidth="1"/>
    <col min="528" max="528" width="13.5703125" style="1" customWidth="1"/>
    <col min="529" max="529" width="12.7109375" style="1" customWidth="1"/>
    <col min="530" max="534" width="0" style="1" hidden="1" customWidth="1"/>
    <col min="535" max="769" width="11.42578125" style="1"/>
    <col min="770" max="770" width="22.42578125" style="1" customWidth="1"/>
    <col min="771" max="771" width="39.42578125" style="1" customWidth="1"/>
    <col min="772" max="772" width="20.28515625" style="1" customWidth="1"/>
    <col min="773" max="773" width="11.7109375" style="1" customWidth="1"/>
    <col min="774" max="774" width="11.5703125" style="1" customWidth="1"/>
    <col min="775" max="775" width="10.7109375" style="1" bestFit="1" customWidth="1"/>
    <col min="776" max="776" width="10" style="1" customWidth="1"/>
    <col min="777" max="777" width="10.5703125" style="1" customWidth="1"/>
    <col min="778" max="779" width="7.7109375" style="1" customWidth="1"/>
    <col min="780" max="780" width="8.7109375" style="1" customWidth="1"/>
    <col min="781" max="782" width="7.7109375" style="1" customWidth="1"/>
    <col min="783" max="783" width="9.28515625" style="1" customWidth="1"/>
    <col min="784" max="784" width="13.5703125" style="1" customWidth="1"/>
    <col min="785" max="785" width="12.7109375" style="1" customWidth="1"/>
    <col min="786" max="790" width="0" style="1" hidden="1" customWidth="1"/>
    <col min="791" max="1025" width="11.42578125" style="1"/>
    <col min="1026" max="1026" width="22.42578125" style="1" customWidth="1"/>
    <col min="1027" max="1027" width="39.42578125" style="1" customWidth="1"/>
    <col min="1028" max="1028" width="20.28515625" style="1" customWidth="1"/>
    <col min="1029" max="1029" width="11.7109375" style="1" customWidth="1"/>
    <col min="1030" max="1030" width="11.5703125" style="1" customWidth="1"/>
    <col min="1031" max="1031" width="10.7109375" style="1" bestFit="1" customWidth="1"/>
    <col min="1032" max="1032" width="10" style="1" customWidth="1"/>
    <col min="1033" max="1033" width="10.5703125" style="1" customWidth="1"/>
    <col min="1034" max="1035" width="7.7109375" style="1" customWidth="1"/>
    <col min="1036" max="1036" width="8.7109375" style="1" customWidth="1"/>
    <col min="1037" max="1038" width="7.7109375" style="1" customWidth="1"/>
    <col min="1039" max="1039" width="9.28515625" style="1" customWidth="1"/>
    <col min="1040" max="1040" width="13.5703125" style="1" customWidth="1"/>
    <col min="1041" max="1041" width="12.7109375" style="1" customWidth="1"/>
    <col min="1042" max="1046" width="0" style="1" hidden="1" customWidth="1"/>
    <col min="1047" max="1281" width="11.42578125" style="1"/>
    <col min="1282" max="1282" width="22.42578125" style="1" customWidth="1"/>
    <col min="1283" max="1283" width="39.42578125" style="1" customWidth="1"/>
    <col min="1284" max="1284" width="20.28515625" style="1" customWidth="1"/>
    <col min="1285" max="1285" width="11.7109375" style="1" customWidth="1"/>
    <col min="1286" max="1286" width="11.5703125" style="1" customWidth="1"/>
    <col min="1287" max="1287" width="10.7109375" style="1" bestFit="1" customWidth="1"/>
    <col min="1288" max="1288" width="10" style="1" customWidth="1"/>
    <col min="1289" max="1289" width="10.5703125" style="1" customWidth="1"/>
    <col min="1290" max="1291" width="7.7109375" style="1" customWidth="1"/>
    <col min="1292" max="1292" width="8.7109375" style="1" customWidth="1"/>
    <col min="1293" max="1294" width="7.7109375" style="1" customWidth="1"/>
    <col min="1295" max="1295" width="9.28515625" style="1" customWidth="1"/>
    <col min="1296" max="1296" width="13.5703125" style="1" customWidth="1"/>
    <col min="1297" max="1297" width="12.7109375" style="1" customWidth="1"/>
    <col min="1298" max="1302" width="0" style="1" hidden="1" customWidth="1"/>
    <col min="1303" max="1537" width="11.42578125" style="1"/>
    <col min="1538" max="1538" width="22.42578125" style="1" customWidth="1"/>
    <col min="1539" max="1539" width="39.42578125" style="1" customWidth="1"/>
    <col min="1540" max="1540" width="20.28515625" style="1" customWidth="1"/>
    <col min="1541" max="1541" width="11.7109375" style="1" customWidth="1"/>
    <col min="1542" max="1542" width="11.5703125" style="1" customWidth="1"/>
    <col min="1543" max="1543" width="10.7109375" style="1" bestFit="1" customWidth="1"/>
    <col min="1544" max="1544" width="10" style="1" customWidth="1"/>
    <col min="1545" max="1545" width="10.5703125" style="1" customWidth="1"/>
    <col min="1546" max="1547" width="7.7109375" style="1" customWidth="1"/>
    <col min="1548" max="1548" width="8.7109375" style="1" customWidth="1"/>
    <col min="1549" max="1550" width="7.7109375" style="1" customWidth="1"/>
    <col min="1551" max="1551" width="9.28515625" style="1" customWidth="1"/>
    <col min="1552" max="1552" width="13.5703125" style="1" customWidth="1"/>
    <col min="1553" max="1553" width="12.7109375" style="1" customWidth="1"/>
    <col min="1554" max="1558" width="0" style="1" hidden="1" customWidth="1"/>
    <col min="1559" max="1793" width="11.42578125" style="1"/>
    <col min="1794" max="1794" width="22.42578125" style="1" customWidth="1"/>
    <col min="1795" max="1795" width="39.42578125" style="1" customWidth="1"/>
    <col min="1796" max="1796" width="20.28515625" style="1" customWidth="1"/>
    <col min="1797" max="1797" width="11.7109375" style="1" customWidth="1"/>
    <col min="1798" max="1798" width="11.5703125" style="1" customWidth="1"/>
    <col min="1799" max="1799" width="10.7109375" style="1" bestFit="1" customWidth="1"/>
    <col min="1800" max="1800" width="10" style="1" customWidth="1"/>
    <col min="1801" max="1801" width="10.5703125" style="1" customWidth="1"/>
    <col min="1802" max="1803" width="7.7109375" style="1" customWidth="1"/>
    <col min="1804" max="1804" width="8.7109375" style="1" customWidth="1"/>
    <col min="1805" max="1806" width="7.7109375" style="1" customWidth="1"/>
    <col min="1807" max="1807" width="9.28515625" style="1" customWidth="1"/>
    <col min="1808" max="1808" width="13.5703125" style="1" customWidth="1"/>
    <col min="1809" max="1809" width="12.7109375" style="1" customWidth="1"/>
    <col min="1810" max="1814" width="0" style="1" hidden="1" customWidth="1"/>
    <col min="1815" max="2049" width="11.42578125" style="1"/>
    <col min="2050" max="2050" width="22.42578125" style="1" customWidth="1"/>
    <col min="2051" max="2051" width="39.42578125" style="1" customWidth="1"/>
    <col min="2052" max="2052" width="20.28515625" style="1" customWidth="1"/>
    <col min="2053" max="2053" width="11.7109375" style="1" customWidth="1"/>
    <col min="2054" max="2054" width="11.5703125" style="1" customWidth="1"/>
    <col min="2055" max="2055" width="10.7109375" style="1" bestFit="1" customWidth="1"/>
    <col min="2056" max="2056" width="10" style="1" customWidth="1"/>
    <col min="2057" max="2057" width="10.5703125" style="1" customWidth="1"/>
    <col min="2058" max="2059" width="7.7109375" style="1" customWidth="1"/>
    <col min="2060" max="2060" width="8.7109375" style="1" customWidth="1"/>
    <col min="2061" max="2062" width="7.7109375" style="1" customWidth="1"/>
    <col min="2063" max="2063" width="9.28515625" style="1" customWidth="1"/>
    <col min="2064" max="2064" width="13.5703125" style="1" customWidth="1"/>
    <col min="2065" max="2065" width="12.7109375" style="1" customWidth="1"/>
    <col min="2066" max="2070" width="0" style="1" hidden="1" customWidth="1"/>
    <col min="2071" max="2305" width="11.42578125" style="1"/>
    <col min="2306" max="2306" width="22.42578125" style="1" customWidth="1"/>
    <col min="2307" max="2307" width="39.42578125" style="1" customWidth="1"/>
    <col min="2308" max="2308" width="20.28515625" style="1" customWidth="1"/>
    <col min="2309" max="2309" width="11.7109375" style="1" customWidth="1"/>
    <col min="2310" max="2310" width="11.5703125" style="1" customWidth="1"/>
    <col min="2311" max="2311" width="10.7109375" style="1" bestFit="1" customWidth="1"/>
    <col min="2312" max="2312" width="10" style="1" customWidth="1"/>
    <col min="2313" max="2313" width="10.5703125" style="1" customWidth="1"/>
    <col min="2314" max="2315" width="7.7109375" style="1" customWidth="1"/>
    <col min="2316" max="2316" width="8.7109375" style="1" customWidth="1"/>
    <col min="2317" max="2318" width="7.7109375" style="1" customWidth="1"/>
    <col min="2319" max="2319" width="9.28515625" style="1" customWidth="1"/>
    <col min="2320" max="2320" width="13.5703125" style="1" customWidth="1"/>
    <col min="2321" max="2321" width="12.7109375" style="1" customWidth="1"/>
    <col min="2322" max="2326" width="0" style="1" hidden="1" customWidth="1"/>
    <col min="2327" max="2561" width="11.42578125" style="1"/>
    <col min="2562" max="2562" width="22.42578125" style="1" customWidth="1"/>
    <col min="2563" max="2563" width="39.42578125" style="1" customWidth="1"/>
    <col min="2564" max="2564" width="20.28515625" style="1" customWidth="1"/>
    <col min="2565" max="2565" width="11.7109375" style="1" customWidth="1"/>
    <col min="2566" max="2566" width="11.5703125" style="1" customWidth="1"/>
    <col min="2567" max="2567" width="10.7109375" style="1" bestFit="1" customWidth="1"/>
    <col min="2568" max="2568" width="10" style="1" customWidth="1"/>
    <col min="2569" max="2569" width="10.5703125" style="1" customWidth="1"/>
    <col min="2570" max="2571" width="7.7109375" style="1" customWidth="1"/>
    <col min="2572" max="2572" width="8.7109375" style="1" customWidth="1"/>
    <col min="2573" max="2574" width="7.7109375" style="1" customWidth="1"/>
    <col min="2575" max="2575" width="9.28515625" style="1" customWidth="1"/>
    <col min="2576" max="2576" width="13.5703125" style="1" customWidth="1"/>
    <col min="2577" max="2577" width="12.7109375" style="1" customWidth="1"/>
    <col min="2578" max="2582" width="0" style="1" hidden="1" customWidth="1"/>
    <col min="2583" max="2817" width="11.42578125" style="1"/>
    <col min="2818" max="2818" width="22.42578125" style="1" customWidth="1"/>
    <col min="2819" max="2819" width="39.42578125" style="1" customWidth="1"/>
    <col min="2820" max="2820" width="20.28515625" style="1" customWidth="1"/>
    <col min="2821" max="2821" width="11.7109375" style="1" customWidth="1"/>
    <col min="2822" max="2822" width="11.5703125" style="1" customWidth="1"/>
    <col min="2823" max="2823" width="10.7109375" style="1" bestFit="1" customWidth="1"/>
    <col min="2824" max="2824" width="10" style="1" customWidth="1"/>
    <col min="2825" max="2825" width="10.5703125" style="1" customWidth="1"/>
    <col min="2826" max="2827" width="7.7109375" style="1" customWidth="1"/>
    <col min="2828" max="2828" width="8.7109375" style="1" customWidth="1"/>
    <col min="2829" max="2830" width="7.7109375" style="1" customWidth="1"/>
    <col min="2831" max="2831" width="9.28515625" style="1" customWidth="1"/>
    <col min="2832" max="2832" width="13.5703125" style="1" customWidth="1"/>
    <col min="2833" max="2833" width="12.7109375" style="1" customWidth="1"/>
    <col min="2834" max="2838" width="0" style="1" hidden="1" customWidth="1"/>
    <col min="2839" max="3073" width="11.42578125" style="1"/>
    <col min="3074" max="3074" width="22.42578125" style="1" customWidth="1"/>
    <col min="3075" max="3075" width="39.42578125" style="1" customWidth="1"/>
    <col min="3076" max="3076" width="20.28515625" style="1" customWidth="1"/>
    <col min="3077" max="3077" width="11.7109375" style="1" customWidth="1"/>
    <col min="3078" max="3078" width="11.5703125" style="1" customWidth="1"/>
    <col min="3079" max="3079" width="10.7109375" style="1" bestFit="1" customWidth="1"/>
    <col min="3080" max="3080" width="10" style="1" customWidth="1"/>
    <col min="3081" max="3081" width="10.5703125" style="1" customWidth="1"/>
    <col min="3082" max="3083" width="7.7109375" style="1" customWidth="1"/>
    <col min="3084" max="3084" width="8.7109375" style="1" customWidth="1"/>
    <col min="3085" max="3086" width="7.7109375" style="1" customWidth="1"/>
    <col min="3087" max="3087" width="9.28515625" style="1" customWidth="1"/>
    <col min="3088" max="3088" width="13.5703125" style="1" customWidth="1"/>
    <col min="3089" max="3089" width="12.7109375" style="1" customWidth="1"/>
    <col min="3090" max="3094" width="0" style="1" hidden="1" customWidth="1"/>
    <col min="3095" max="3329" width="11.42578125" style="1"/>
    <col min="3330" max="3330" width="22.42578125" style="1" customWidth="1"/>
    <col min="3331" max="3331" width="39.42578125" style="1" customWidth="1"/>
    <col min="3332" max="3332" width="20.28515625" style="1" customWidth="1"/>
    <col min="3333" max="3333" width="11.7109375" style="1" customWidth="1"/>
    <col min="3334" max="3334" width="11.5703125" style="1" customWidth="1"/>
    <col min="3335" max="3335" width="10.7109375" style="1" bestFit="1" customWidth="1"/>
    <col min="3336" max="3336" width="10" style="1" customWidth="1"/>
    <col min="3337" max="3337" width="10.5703125" style="1" customWidth="1"/>
    <col min="3338" max="3339" width="7.7109375" style="1" customWidth="1"/>
    <col min="3340" max="3340" width="8.7109375" style="1" customWidth="1"/>
    <col min="3341" max="3342" width="7.7109375" style="1" customWidth="1"/>
    <col min="3343" max="3343" width="9.28515625" style="1" customWidth="1"/>
    <col min="3344" max="3344" width="13.5703125" style="1" customWidth="1"/>
    <col min="3345" max="3345" width="12.7109375" style="1" customWidth="1"/>
    <col min="3346" max="3350" width="0" style="1" hidden="1" customWidth="1"/>
    <col min="3351" max="3585" width="11.42578125" style="1"/>
    <col min="3586" max="3586" width="22.42578125" style="1" customWidth="1"/>
    <col min="3587" max="3587" width="39.42578125" style="1" customWidth="1"/>
    <col min="3588" max="3588" width="20.28515625" style="1" customWidth="1"/>
    <col min="3589" max="3589" width="11.7109375" style="1" customWidth="1"/>
    <col min="3590" max="3590" width="11.5703125" style="1" customWidth="1"/>
    <col min="3591" max="3591" width="10.7109375" style="1" bestFit="1" customWidth="1"/>
    <col min="3592" max="3592" width="10" style="1" customWidth="1"/>
    <col min="3593" max="3593" width="10.5703125" style="1" customWidth="1"/>
    <col min="3594" max="3595" width="7.7109375" style="1" customWidth="1"/>
    <col min="3596" max="3596" width="8.7109375" style="1" customWidth="1"/>
    <col min="3597" max="3598" width="7.7109375" style="1" customWidth="1"/>
    <col min="3599" max="3599" width="9.28515625" style="1" customWidth="1"/>
    <col min="3600" max="3600" width="13.5703125" style="1" customWidth="1"/>
    <col min="3601" max="3601" width="12.7109375" style="1" customWidth="1"/>
    <col min="3602" max="3606" width="0" style="1" hidden="1" customWidth="1"/>
    <col min="3607" max="3841" width="11.42578125" style="1"/>
    <col min="3842" max="3842" width="22.42578125" style="1" customWidth="1"/>
    <col min="3843" max="3843" width="39.42578125" style="1" customWidth="1"/>
    <col min="3844" max="3844" width="20.28515625" style="1" customWidth="1"/>
    <col min="3845" max="3845" width="11.7109375" style="1" customWidth="1"/>
    <col min="3846" max="3846" width="11.5703125" style="1" customWidth="1"/>
    <col min="3847" max="3847" width="10.7109375" style="1" bestFit="1" customWidth="1"/>
    <col min="3848" max="3848" width="10" style="1" customWidth="1"/>
    <col min="3849" max="3849" width="10.5703125" style="1" customWidth="1"/>
    <col min="3850" max="3851" width="7.7109375" style="1" customWidth="1"/>
    <col min="3852" max="3852" width="8.7109375" style="1" customWidth="1"/>
    <col min="3853" max="3854" width="7.7109375" style="1" customWidth="1"/>
    <col min="3855" max="3855" width="9.28515625" style="1" customWidth="1"/>
    <col min="3856" max="3856" width="13.5703125" style="1" customWidth="1"/>
    <col min="3857" max="3857" width="12.7109375" style="1" customWidth="1"/>
    <col min="3858" max="3862" width="0" style="1" hidden="1" customWidth="1"/>
    <col min="3863" max="4097" width="11.42578125" style="1"/>
    <col min="4098" max="4098" width="22.42578125" style="1" customWidth="1"/>
    <col min="4099" max="4099" width="39.42578125" style="1" customWidth="1"/>
    <col min="4100" max="4100" width="20.28515625" style="1" customWidth="1"/>
    <col min="4101" max="4101" width="11.7109375" style="1" customWidth="1"/>
    <col min="4102" max="4102" width="11.5703125" style="1" customWidth="1"/>
    <col min="4103" max="4103" width="10.7109375" style="1" bestFit="1" customWidth="1"/>
    <col min="4104" max="4104" width="10" style="1" customWidth="1"/>
    <col min="4105" max="4105" width="10.5703125" style="1" customWidth="1"/>
    <col min="4106" max="4107" width="7.7109375" style="1" customWidth="1"/>
    <col min="4108" max="4108" width="8.7109375" style="1" customWidth="1"/>
    <col min="4109" max="4110" width="7.7109375" style="1" customWidth="1"/>
    <col min="4111" max="4111" width="9.28515625" style="1" customWidth="1"/>
    <col min="4112" max="4112" width="13.5703125" style="1" customWidth="1"/>
    <col min="4113" max="4113" width="12.7109375" style="1" customWidth="1"/>
    <col min="4114" max="4118" width="0" style="1" hidden="1" customWidth="1"/>
    <col min="4119" max="4353" width="11.42578125" style="1"/>
    <col min="4354" max="4354" width="22.42578125" style="1" customWidth="1"/>
    <col min="4355" max="4355" width="39.42578125" style="1" customWidth="1"/>
    <col min="4356" max="4356" width="20.28515625" style="1" customWidth="1"/>
    <col min="4357" max="4357" width="11.7109375" style="1" customWidth="1"/>
    <col min="4358" max="4358" width="11.5703125" style="1" customWidth="1"/>
    <col min="4359" max="4359" width="10.7109375" style="1" bestFit="1" customWidth="1"/>
    <col min="4360" max="4360" width="10" style="1" customWidth="1"/>
    <col min="4361" max="4361" width="10.5703125" style="1" customWidth="1"/>
    <col min="4362" max="4363" width="7.7109375" style="1" customWidth="1"/>
    <col min="4364" max="4364" width="8.7109375" style="1" customWidth="1"/>
    <col min="4365" max="4366" width="7.7109375" style="1" customWidth="1"/>
    <col min="4367" max="4367" width="9.28515625" style="1" customWidth="1"/>
    <col min="4368" max="4368" width="13.5703125" style="1" customWidth="1"/>
    <col min="4369" max="4369" width="12.7109375" style="1" customWidth="1"/>
    <col min="4370" max="4374" width="0" style="1" hidden="1" customWidth="1"/>
    <col min="4375" max="4609" width="11.42578125" style="1"/>
    <col min="4610" max="4610" width="22.42578125" style="1" customWidth="1"/>
    <col min="4611" max="4611" width="39.42578125" style="1" customWidth="1"/>
    <col min="4612" max="4612" width="20.28515625" style="1" customWidth="1"/>
    <col min="4613" max="4613" width="11.7109375" style="1" customWidth="1"/>
    <col min="4614" max="4614" width="11.5703125" style="1" customWidth="1"/>
    <col min="4615" max="4615" width="10.7109375" style="1" bestFit="1" customWidth="1"/>
    <col min="4616" max="4616" width="10" style="1" customWidth="1"/>
    <col min="4617" max="4617" width="10.5703125" style="1" customWidth="1"/>
    <col min="4618" max="4619" width="7.7109375" style="1" customWidth="1"/>
    <col min="4620" max="4620" width="8.7109375" style="1" customWidth="1"/>
    <col min="4621" max="4622" width="7.7109375" style="1" customWidth="1"/>
    <col min="4623" max="4623" width="9.28515625" style="1" customWidth="1"/>
    <col min="4624" max="4624" width="13.5703125" style="1" customWidth="1"/>
    <col min="4625" max="4625" width="12.7109375" style="1" customWidth="1"/>
    <col min="4626" max="4630" width="0" style="1" hidden="1" customWidth="1"/>
    <col min="4631" max="4865" width="11.42578125" style="1"/>
    <col min="4866" max="4866" width="22.42578125" style="1" customWidth="1"/>
    <col min="4867" max="4867" width="39.42578125" style="1" customWidth="1"/>
    <col min="4868" max="4868" width="20.28515625" style="1" customWidth="1"/>
    <col min="4869" max="4869" width="11.7109375" style="1" customWidth="1"/>
    <col min="4870" max="4870" width="11.5703125" style="1" customWidth="1"/>
    <col min="4871" max="4871" width="10.7109375" style="1" bestFit="1" customWidth="1"/>
    <col min="4872" max="4872" width="10" style="1" customWidth="1"/>
    <col min="4873" max="4873" width="10.5703125" style="1" customWidth="1"/>
    <col min="4874" max="4875" width="7.7109375" style="1" customWidth="1"/>
    <col min="4876" max="4876" width="8.7109375" style="1" customWidth="1"/>
    <col min="4877" max="4878" width="7.7109375" style="1" customWidth="1"/>
    <col min="4879" max="4879" width="9.28515625" style="1" customWidth="1"/>
    <col min="4880" max="4880" width="13.5703125" style="1" customWidth="1"/>
    <col min="4881" max="4881" width="12.7109375" style="1" customWidth="1"/>
    <col min="4882" max="4886" width="0" style="1" hidden="1" customWidth="1"/>
    <col min="4887" max="5121" width="11.42578125" style="1"/>
    <col min="5122" max="5122" width="22.42578125" style="1" customWidth="1"/>
    <col min="5123" max="5123" width="39.42578125" style="1" customWidth="1"/>
    <col min="5124" max="5124" width="20.28515625" style="1" customWidth="1"/>
    <col min="5125" max="5125" width="11.7109375" style="1" customWidth="1"/>
    <col min="5126" max="5126" width="11.5703125" style="1" customWidth="1"/>
    <col min="5127" max="5127" width="10.7109375" style="1" bestFit="1" customWidth="1"/>
    <col min="5128" max="5128" width="10" style="1" customWidth="1"/>
    <col min="5129" max="5129" width="10.5703125" style="1" customWidth="1"/>
    <col min="5130" max="5131" width="7.7109375" style="1" customWidth="1"/>
    <col min="5132" max="5132" width="8.7109375" style="1" customWidth="1"/>
    <col min="5133" max="5134" width="7.7109375" style="1" customWidth="1"/>
    <col min="5135" max="5135" width="9.28515625" style="1" customWidth="1"/>
    <col min="5136" max="5136" width="13.5703125" style="1" customWidth="1"/>
    <col min="5137" max="5137" width="12.7109375" style="1" customWidth="1"/>
    <col min="5138" max="5142" width="0" style="1" hidden="1" customWidth="1"/>
    <col min="5143" max="5377" width="11.42578125" style="1"/>
    <col min="5378" max="5378" width="22.42578125" style="1" customWidth="1"/>
    <col min="5379" max="5379" width="39.42578125" style="1" customWidth="1"/>
    <col min="5380" max="5380" width="20.28515625" style="1" customWidth="1"/>
    <col min="5381" max="5381" width="11.7109375" style="1" customWidth="1"/>
    <col min="5382" max="5382" width="11.5703125" style="1" customWidth="1"/>
    <col min="5383" max="5383" width="10.7109375" style="1" bestFit="1" customWidth="1"/>
    <col min="5384" max="5384" width="10" style="1" customWidth="1"/>
    <col min="5385" max="5385" width="10.5703125" style="1" customWidth="1"/>
    <col min="5386" max="5387" width="7.7109375" style="1" customWidth="1"/>
    <col min="5388" max="5388" width="8.7109375" style="1" customWidth="1"/>
    <col min="5389" max="5390" width="7.7109375" style="1" customWidth="1"/>
    <col min="5391" max="5391" width="9.28515625" style="1" customWidth="1"/>
    <col min="5392" max="5392" width="13.5703125" style="1" customWidth="1"/>
    <col min="5393" max="5393" width="12.7109375" style="1" customWidth="1"/>
    <col min="5394" max="5398" width="0" style="1" hidden="1" customWidth="1"/>
    <col min="5399" max="5633" width="11.42578125" style="1"/>
    <col min="5634" max="5634" width="22.42578125" style="1" customWidth="1"/>
    <col min="5635" max="5635" width="39.42578125" style="1" customWidth="1"/>
    <col min="5636" max="5636" width="20.28515625" style="1" customWidth="1"/>
    <col min="5637" max="5637" width="11.7109375" style="1" customWidth="1"/>
    <col min="5638" max="5638" width="11.5703125" style="1" customWidth="1"/>
    <col min="5639" max="5639" width="10.7109375" style="1" bestFit="1" customWidth="1"/>
    <col min="5640" max="5640" width="10" style="1" customWidth="1"/>
    <col min="5641" max="5641" width="10.5703125" style="1" customWidth="1"/>
    <col min="5642" max="5643" width="7.7109375" style="1" customWidth="1"/>
    <col min="5644" max="5644" width="8.7109375" style="1" customWidth="1"/>
    <col min="5645" max="5646" width="7.7109375" style="1" customWidth="1"/>
    <col min="5647" max="5647" width="9.28515625" style="1" customWidth="1"/>
    <col min="5648" max="5648" width="13.5703125" style="1" customWidth="1"/>
    <col min="5649" max="5649" width="12.7109375" style="1" customWidth="1"/>
    <col min="5650" max="5654" width="0" style="1" hidden="1" customWidth="1"/>
    <col min="5655" max="5889" width="11.42578125" style="1"/>
    <col min="5890" max="5890" width="22.42578125" style="1" customWidth="1"/>
    <col min="5891" max="5891" width="39.42578125" style="1" customWidth="1"/>
    <col min="5892" max="5892" width="20.28515625" style="1" customWidth="1"/>
    <col min="5893" max="5893" width="11.7109375" style="1" customWidth="1"/>
    <col min="5894" max="5894" width="11.5703125" style="1" customWidth="1"/>
    <col min="5895" max="5895" width="10.7109375" style="1" bestFit="1" customWidth="1"/>
    <col min="5896" max="5896" width="10" style="1" customWidth="1"/>
    <col min="5897" max="5897" width="10.5703125" style="1" customWidth="1"/>
    <col min="5898" max="5899" width="7.7109375" style="1" customWidth="1"/>
    <col min="5900" max="5900" width="8.7109375" style="1" customWidth="1"/>
    <col min="5901" max="5902" width="7.7109375" style="1" customWidth="1"/>
    <col min="5903" max="5903" width="9.28515625" style="1" customWidth="1"/>
    <col min="5904" max="5904" width="13.5703125" style="1" customWidth="1"/>
    <col min="5905" max="5905" width="12.7109375" style="1" customWidth="1"/>
    <col min="5906" max="5910" width="0" style="1" hidden="1" customWidth="1"/>
    <col min="5911" max="6145" width="11.42578125" style="1"/>
    <col min="6146" max="6146" width="22.42578125" style="1" customWidth="1"/>
    <col min="6147" max="6147" width="39.42578125" style="1" customWidth="1"/>
    <col min="6148" max="6148" width="20.28515625" style="1" customWidth="1"/>
    <col min="6149" max="6149" width="11.7109375" style="1" customWidth="1"/>
    <col min="6150" max="6150" width="11.5703125" style="1" customWidth="1"/>
    <col min="6151" max="6151" width="10.7109375" style="1" bestFit="1" customWidth="1"/>
    <col min="6152" max="6152" width="10" style="1" customWidth="1"/>
    <col min="6153" max="6153" width="10.5703125" style="1" customWidth="1"/>
    <col min="6154" max="6155" width="7.7109375" style="1" customWidth="1"/>
    <col min="6156" max="6156" width="8.7109375" style="1" customWidth="1"/>
    <col min="6157" max="6158" width="7.7109375" style="1" customWidth="1"/>
    <col min="6159" max="6159" width="9.28515625" style="1" customWidth="1"/>
    <col min="6160" max="6160" width="13.5703125" style="1" customWidth="1"/>
    <col min="6161" max="6161" width="12.7109375" style="1" customWidth="1"/>
    <col min="6162" max="6166" width="0" style="1" hidden="1" customWidth="1"/>
    <col min="6167" max="6401" width="11.42578125" style="1"/>
    <col min="6402" max="6402" width="22.42578125" style="1" customWidth="1"/>
    <col min="6403" max="6403" width="39.42578125" style="1" customWidth="1"/>
    <col min="6404" max="6404" width="20.28515625" style="1" customWidth="1"/>
    <col min="6405" max="6405" width="11.7109375" style="1" customWidth="1"/>
    <col min="6406" max="6406" width="11.5703125" style="1" customWidth="1"/>
    <col min="6407" max="6407" width="10.7109375" style="1" bestFit="1" customWidth="1"/>
    <col min="6408" max="6408" width="10" style="1" customWidth="1"/>
    <col min="6409" max="6409" width="10.5703125" style="1" customWidth="1"/>
    <col min="6410" max="6411" width="7.7109375" style="1" customWidth="1"/>
    <col min="6412" max="6412" width="8.7109375" style="1" customWidth="1"/>
    <col min="6413" max="6414" width="7.7109375" style="1" customWidth="1"/>
    <col min="6415" max="6415" width="9.28515625" style="1" customWidth="1"/>
    <col min="6416" max="6416" width="13.5703125" style="1" customWidth="1"/>
    <col min="6417" max="6417" width="12.7109375" style="1" customWidth="1"/>
    <col min="6418" max="6422" width="0" style="1" hidden="1" customWidth="1"/>
    <col min="6423" max="6657" width="11.42578125" style="1"/>
    <col min="6658" max="6658" width="22.42578125" style="1" customWidth="1"/>
    <col min="6659" max="6659" width="39.42578125" style="1" customWidth="1"/>
    <col min="6660" max="6660" width="20.28515625" style="1" customWidth="1"/>
    <col min="6661" max="6661" width="11.7109375" style="1" customWidth="1"/>
    <col min="6662" max="6662" width="11.5703125" style="1" customWidth="1"/>
    <col min="6663" max="6663" width="10.7109375" style="1" bestFit="1" customWidth="1"/>
    <col min="6664" max="6664" width="10" style="1" customWidth="1"/>
    <col min="6665" max="6665" width="10.5703125" style="1" customWidth="1"/>
    <col min="6666" max="6667" width="7.7109375" style="1" customWidth="1"/>
    <col min="6668" max="6668" width="8.7109375" style="1" customWidth="1"/>
    <col min="6669" max="6670" width="7.7109375" style="1" customWidth="1"/>
    <col min="6671" max="6671" width="9.28515625" style="1" customWidth="1"/>
    <col min="6672" max="6672" width="13.5703125" style="1" customWidth="1"/>
    <col min="6673" max="6673" width="12.7109375" style="1" customWidth="1"/>
    <col min="6674" max="6678" width="0" style="1" hidden="1" customWidth="1"/>
    <col min="6679" max="6913" width="11.42578125" style="1"/>
    <col min="6914" max="6914" width="22.42578125" style="1" customWidth="1"/>
    <col min="6915" max="6915" width="39.42578125" style="1" customWidth="1"/>
    <col min="6916" max="6916" width="20.28515625" style="1" customWidth="1"/>
    <col min="6917" max="6917" width="11.7109375" style="1" customWidth="1"/>
    <col min="6918" max="6918" width="11.5703125" style="1" customWidth="1"/>
    <col min="6919" max="6919" width="10.7109375" style="1" bestFit="1" customWidth="1"/>
    <col min="6920" max="6920" width="10" style="1" customWidth="1"/>
    <col min="6921" max="6921" width="10.5703125" style="1" customWidth="1"/>
    <col min="6922" max="6923" width="7.7109375" style="1" customWidth="1"/>
    <col min="6924" max="6924" width="8.7109375" style="1" customWidth="1"/>
    <col min="6925" max="6926" width="7.7109375" style="1" customWidth="1"/>
    <col min="6927" max="6927" width="9.28515625" style="1" customWidth="1"/>
    <col min="6928" max="6928" width="13.5703125" style="1" customWidth="1"/>
    <col min="6929" max="6929" width="12.7109375" style="1" customWidth="1"/>
    <col min="6930" max="6934" width="0" style="1" hidden="1" customWidth="1"/>
    <col min="6935" max="7169" width="11.42578125" style="1"/>
    <col min="7170" max="7170" width="22.42578125" style="1" customWidth="1"/>
    <col min="7171" max="7171" width="39.42578125" style="1" customWidth="1"/>
    <col min="7172" max="7172" width="20.28515625" style="1" customWidth="1"/>
    <col min="7173" max="7173" width="11.7109375" style="1" customWidth="1"/>
    <col min="7174" max="7174" width="11.5703125" style="1" customWidth="1"/>
    <col min="7175" max="7175" width="10.7109375" style="1" bestFit="1" customWidth="1"/>
    <col min="7176" max="7176" width="10" style="1" customWidth="1"/>
    <col min="7177" max="7177" width="10.5703125" style="1" customWidth="1"/>
    <col min="7178" max="7179" width="7.7109375" style="1" customWidth="1"/>
    <col min="7180" max="7180" width="8.7109375" style="1" customWidth="1"/>
    <col min="7181" max="7182" width="7.7109375" style="1" customWidth="1"/>
    <col min="7183" max="7183" width="9.28515625" style="1" customWidth="1"/>
    <col min="7184" max="7184" width="13.5703125" style="1" customWidth="1"/>
    <col min="7185" max="7185" width="12.7109375" style="1" customWidth="1"/>
    <col min="7186" max="7190" width="0" style="1" hidden="1" customWidth="1"/>
    <col min="7191" max="7425" width="11.42578125" style="1"/>
    <col min="7426" max="7426" width="22.42578125" style="1" customWidth="1"/>
    <col min="7427" max="7427" width="39.42578125" style="1" customWidth="1"/>
    <col min="7428" max="7428" width="20.28515625" style="1" customWidth="1"/>
    <col min="7429" max="7429" width="11.7109375" style="1" customWidth="1"/>
    <col min="7430" max="7430" width="11.5703125" style="1" customWidth="1"/>
    <col min="7431" max="7431" width="10.7109375" style="1" bestFit="1" customWidth="1"/>
    <col min="7432" max="7432" width="10" style="1" customWidth="1"/>
    <col min="7433" max="7433" width="10.5703125" style="1" customWidth="1"/>
    <col min="7434" max="7435" width="7.7109375" style="1" customWidth="1"/>
    <col min="7436" max="7436" width="8.7109375" style="1" customWidth="1"/>
    <col min="7437" max="7438" width="7.7109375" style="1" customWidth="1"/>
    <col min="7439" max="7439" width="9.28515625" style="1" customWidth="1"/>
    <col min="7440" max="7440" width="13.5703125" style="1" customWidth="1"/>
    <col min="7441" max="7441" width="12.7109375" style="1" customWidth="1"/>
    <col min="7442" max="7446" width="0" style="1" hidden="1" customWidth="1"/>
    <col min="7447" max="7681" width="11.42578125" style="1"/>
    <col min="7682" max="7682" width="22.42578125" style="1" customWidth="1"/>
    <col min="7683" max="7683" width="39.42578125" style="1" customWidth="1"/>
    <col min="7684" max="7684" width="20.28515625" style="1" customWidth="1"/>
    <col min="7685" max="7685" width="11.7109375" style="1" customWidth="1"/>
    <col min="7686" max="7686" width="11.5703125" style="1" customWidth="1"/>
    <col min="7687" max="7687" width="10.7109375" style="1" bestFit="1" customWidth="1"/>
    <col min="7688" max="7688" width="10" style="1" customWidth="1"/>
    <col min="7689" max="7689" width="10.5703125" style="1" customWidth="1"/>
    <col min="7690" max="7691" width="7.7109375" style="1" customWidth="1"/>
    <col min="7692" max="7692" width="8.7109375" style="1" customWidth="1"/>
    <col min="7693" max="7694" width="7.7109375" style="1" customWidth="1"/>
    <col min="7695" max="7695" width="9.28515625" style="1" customWidth="1"/>
    <col min="7696" max="7696" width="13.5703125" style="1" customWidth="1"/>
    <col min="7697" max="7697" width="12.7109375" style="1" customWidth="1"/>
    <col min="7698" max="7702" width="0" style="1" hidden="1" customWidth="1"/>
    <col min="7703" max="7937" width="11.42578125" style="1"/>
    <col min="7938" max="7938" width="22.42578125" style="1" customWidth="1"/>
    <col min="7939" max="7939" width="39.42578125" style="1" customWidth="1"/>
    <col min="7940" max="7940" width="20.28515625" style="1" customWidth="1"/>
    <col min="7941" max="7941" width="11.7109375" style="1" customWidth="1"/>
    <col min="7942" max="7942" width="11.5703125" style="1" customWidth="1"/>
    <col min="7943" max="7943" width="10.7109375" style="1" bestFit="1" customWidth="1"/>
    <col min="7944" max="7944" width="10" style="1" customWidth="1"/>
    <col min="7945" max="7945" width="10.5703125" style="1" customWidth="1"/>
    <col min="7946" max="7947" width="7.7109375" style="1" customWidth="1"/>
    <col min="7948" max="7948" width="8.7109375" style="1" customWidth="1"/>
    <col min="7949" max="7950" width="7.7109375" style="1" customWidth="1"/>
    <col min="7951" max="7951" width="9.28515625" style="1" customWidth="1"/>
    <col min="7952" max="7952" width="13.5703125" style="1" customWidth="1"/>
    <col min="7953" max="7953" width="12.7109375" style="1" customWidth="1"/>
    <col min="7954" max="7958" width="0" style="1" hidden="1" customWidth="1"/>
    <col min="7959" max="8193" width="11.42578125" style="1"/>
    <col min="8194" max="8194" width="22.42578125" style="1" customWidth="1"/>
    <col min="8195" max="8195" width="39.42578125" style="1" customWidth="1"/>
    <col min="8196" max="8196" width="20.28515625" style="1" customWidth="1"/>
    <col min="8197" max="8197" width="11.7109375" style="1" customWidth="1"/>
    <col min="8198" max="8198" width="11.5703125" style="1" customWidth="1"/>
    <col min="8199" max="8199" width="10.7109375" style="1" bestFit="1" customWidth="1"/>
    <col min="8200" max="8200" width="10" style="1" customWidth="1"/>
    <col min="8201" max="8201" width="10.5703125" style="1" customWidth="1"/>
    <col min="8202" max="8203" width="7.7109375" style="1" customWidth="1"/>
    <col min="8204" max="8204" width="8.7109375" style="1" customWidth="1"/>
    <col min="8205" max="8206" width="7.7109375" style="1" customWidth="1"/>
    <col min="8207" max="8207" width="9.28515625" style="1" customWidth="1"/>
    <col min="8208" max="8208" width="13.5703125" style="1" customWidth="1"/>
    <col min="8209" max="8209" width="12.7109375" style="1" customWidth="1"/>
    <col min="8210" max="8214" width="0" style="1" hidden="1" customWidth="1"/>
    <col min="8215" max="8449" width="11.42578125" style="1"/>
    <col min="8450" max="8450" width="22.42578125" style="1" customWidth="1"/>
    <col min="8451" max="8451" width="39.42578125" style="1" customWidth="1"/>
    <col min="8452" max="8452" width="20.28515625" style="1" customWidth="1"/>
    <col min="8453" max="8453" width="11.7109375" style="1" customWidth="1"/>
    <col min="8454" max="8454" width="11.5703125" style="1" customWidth="1"/>
    <col min="8455" max="8455" width="10.7109375" style="1" bestFit="1" customWidth="1"/>
    <col min="8456" max="8456" width="10" style="1" customWidth="1"/>
    <col min="8457" max="8457" width="10.5703125" style="1" customWidth="1"/>
    <col min="8458" max="8459" width="7.7109375" style="1" customWidth="1"/>
    <col min="8460" max="8460" width="8.7109375" style="1" customWidth="1"/>
    <col min="8461" max="8462" width="7.7109375" style="1" customWidth="1"/>
    <col min="8463" max="8463" width="9.28515625" style="1" customWidth="1"/>
    <col min="8464" max="8464" width="13.5703125" style="1" customWidth="1"/>
    <col min="8465" max="8465" width="12.7109375" style="1" customWidth="1"/>
    <col min="8466" max="8470" width="0" style="1" hidden="1" customWidth="1"/>
    <col min="8471" max="8705" width="11.42578125" style="1"/>
    <col min="8706" max="8706" width="22.42578125" style="1" customWidth="1"/>
    <col min="8707" max="8707" width="39.42578125" style="1" customWidth="1"/>
    <col min="8708" max="8708" width="20.28515625" style="1" customWidth="1"/>
    <col min="8709" max="8709" width="11.7109375" style="1" customWidth="1"/>
    <col min="8710" max="8710" width="11.5703125" style="1" customWidth="1"/>
    <col min="8711" max="8711" width="10.7109375" style="1" bestFit="1" customWidth="1"/>
    <col min="8712" max="8712" width="10" style="1" customWidth="1"/>
    <col min="8713" max="8713" width="10.5703125" style="1" customWidth="1"/>
    <col min="8714" max="8715" width="7.7109375" style="1" customWidth="1"/>
    <col min="8716" max="8716" width="8.7109375" style="1" customWidth="1"/>
    <col min="8717" max="8718" width="7.7109375" style="1" customWidth="1"/>
    <col min="8719" max="8719" width="9.28515625" style="1" customWidth="1"/>
    <col min="8720" max="8720" width="13.5703125" style="1" customWidth="1"/>
    <col min="8721" max="8721" width="12.7109375" style="1" customWidth="1"/>
    <col min="8722" max="8726" width="0" style="1" hidden="1" customWidth="1"/>
    <col min="8727" max="8961" width="11.42578125" style="1"/>
    <col min="8962" max="8962" width="22.42578125" style="1" customWidth="1"/>
    <col min="8963" max="8963" width="39.42578125" style="1" customWidth="1"/>
    <col min="8964" max="8964" width="20.28515625" style="1" customWidth="1"/>
    <col min="8965" max="8965" width="11.7109375" style="1" customWidth="1"/>
    <col min="8966" max="8966" width="11.5703125" style="1" customWidth="1"/>
    <col min="8967" max="8967" width="10.7109375" style="1" bestFit="1" customWidth="1"/>
    <col min="8968" max="8968" width="10" style="1" customWidth="1"/>
    <col min="8969" max="8969" width="10.5703125" style="1" customWidth="1"/>
    <col min="8970" max="8971" width="7.7109375" style="1" customWidth="1"/>
    <col min="8972" max="8972" width="8.7109375" style="1" customWidth="1"/>
    <col min="8973" max="8974" width="7.7109375" style="1" customWidth="1"/>
    <col min="8975" max="8975" width="9.28515625" style="1" customWidth="1"/>
    <col min="8976" max="8976" width="13.5703125" style="1" customWidth="1"/>
    <col min="8977" max="8977" width="12.7109375" style="1" customWidth="1"/>
    <col min="8978" max="8982" width="0" style="1" hidden="1" customWidth="1"/>
    <col min="8983" max="9217" width="11.42578125" style="1"/>
    <col min="9218" max="9218" width="22.42578125" style="1" customWidth="1"/>
    <col min="9219" max="9219" width="39.42578125" style="1" customWidth="1"/>
    <col min="9220" max="9220" width="20.28515625" style="1" customWidth="1"/>
    <col min="9221" max="9221" width="11.7109375" style="1" customWidth="1"/>
    <col min="9222" max="9222" width="11.5703125" style="1" customWidth="1"/>
    <col min="9223" max="9223" width="10.7109375" style="1" bestFit="1" customWidth="1"/>
    <col min="9224" max="9224" width="10" style="1" customWidth="1"/>
    <col min="9225" max="9225" width="10.5703125" style="1" customWidth="1"/>
    <col min="9226" max="9227" width="7.7109375" style="1" customWidth="1"/>
    <col min="9228" max="9228" width="8.7109375" style="1" customWidth="1"/>
    <col min="9229" max="9230" width="7.7109375" style="1" customWidth="1"/>
    <col min="9231" max="9231" width="9.28515625" style="1" customWidth="1"/>
    <col min="9232" max="9232" width="13.5703125" style="1" customWidth="1"/>
    <col min="9233" max="9233" width="12.7109375" style="1" customWidth="1"/>
    <col min="9234" max="9238" width="0" style="1" hidden="1" customWidth="1"/>
    <col min="9239" max="9473" width="11.42578125" style="1"/>
    <col min="9474" max="9474" width="22.42578125" style="1" customWidth="1"/>
    <col min="9475" max="9475" width="39.42578125" style="1" customWidth="1"/>
    <col min="9476" max="9476" width="20.28515625" style="1" customWidth="1"/>
    <col min="9477" max="9477" width="11.7109375" style="1" customWidth="1"/>
    <col min="9478" max="9478" width="11.5703125" style="1" customWidth="1"/>
    <col min="9479" max="9479" width="10.7109375" style="1" bestFit="1" customWidth="1"/>
    <col min="9480" max="9480" width="10" style="1" customWidth="1"/>
    <col min="9481" max="9481" width="10.5703125" style="1" customWidth="1"/>
    <col min="9482" max="9483" width="7.7109375" style="1" customWidth="1"/>
    <col min="9484" max="9484" width="8.7109375" style="1" customWidth="1"/>
    <col min="9485" max="9486" width="7.7109375" style="1" customWidth="1"/>
    <col min="9487" max="9487" width="9.28515625" style="1" customWidth="1"/>
    <col min="9488" max="9488" width="13.5703125" style="1" customWidth="1"/>
    <col min="9489" max="9489" width="12.7109375" style="1" customWidth="1"/>
    <col min="9490" max="9494" width="0" style="1" hidden="1" customWidth="1"/>
    <col min="9495" max="9729" width="11.42578125" style="1"/>
    <col min="9730" max="9730" width="22.42578125" style="1" customWidth="1"/>
    <col min="9731" max="9731" width="39.42578125" style="1" customWidth="1"/>
    <col min="9732" max="9732" width="20.28515625" style="1" customWidth="1"/>
    <col min="9733" max="9733" width="11.7109375" style="1" customWidth="1"/>
    <col min="9734" max="9734" width="11.5703125" style="1" customWidth="1"/>
    <col min="9735" max="9735" width="10.7109375" style="1" bestFit="1" customWidth="1"/>
    <col min="9736" max="9736" width="10" style="1" customWidth="1"/>
    <col min="9737" max="9737" width="10.5703125" style="1" customWidth="1"/>
    <col min="9738" max="9739" width="7.7109375" style="1" customWidth="1"/>
    <col min="9740" max="9740" width="8.7109375" style="1" customWidth="1"/>
    <col min="9741" max="9742" width="7.7109375" style="1" customWidth="1"/>
    <col min="9743" max="9743" width="9.28515625" style="1" customWidth="1"/>
    <col min="9744" max="9744" width="13.5703125" style="1" customWidth="1"/>
    <col min="9745" max="9745" width="12.7109375" style="1" customWidth="1"/>
    <col min="9746" max="9750" width="0" style="1" hidden="1" customWidth="1"/>
    <col min="9751" max="9985" width="11.42578125" style="1"/>
    <col min="9986" max="9986" width="22.42578125" style="1" customWidth="1"/>
    <col min="9987" max="9987" width="39.42578125" style="1" customWidth="1"/>
    <col min="9988" max="9988" width="20.28515625" style="1" customWidth="1"/>
    <col min="9989" max="9989" width="11.7109375" style="1" customWidth="1"/>
    <col min="9990" max="9990" width="11.5703125" style="1" customWidth="1"/>
    <col min="9991" max="9991" width="10.7109375" style="1" bestFit="1" customWidth="1"/>
    <col min="9992" max="9992" width="10" style="1" customWidth="1"/>
    <col min="9993" max="9993" width="10.5703125" style="1" customWidth="1"/>
    <col min="9994" max="9995" width="7.7109375" style="1" customWidth="1"/>
    <col min="9996" max="9996" width="8.7109375" style="1" customWidth="1"/>
    <col min="9997" max="9998" width="7.7109375" style="1" customWidth="1"/>
    <col min="9999" max="9999" width="9.28515625" style="1" customWidth="1"/>
    <col min="10000" max="10000" width="13.5703125" style="1" customWidth="1"/>
    <col min="10001" max="10001" width="12.7109375" style="1" customWidth="1"/>
    <col min="10002" max="10006" width="0" style="1" hidden="1" customWidth="1"/>
    <col min="10007" max="10241" width="11.42578125" style="1"/>
    <col min="10242" max="10242" width="22.42578125" style="1" customWidth="1"/>
    <col min="10243" max="10243" width="39.42578125" style="1" customWidth="1"/>
    <col min="10244" max="10244" width="20.28515625" style="1" customWidth="1"/>
    <col min="10245" max="10245" width="11.7109375" style="1" customWidth="1"/>
    <col min="10246" max="10246" width="11.5703125" style="1" customWidth="1"/>
    <col min="10247" max="10247" width="10.7109375" style="1" bestFit="1" customWidth="1"/>
    <col min="10248" max="10248" width="10" style="1" customWidth="1"/>
    <col min="10249" max="10249" width="10.5703125" style="1" customWidth="1"/>
    <col min="10250" max="10251" width="7.7109375" style="1" customWidth="1"/>
    <col min="10252" max="10252" width="8.7109375" style="1" customWidth="1"/>
    <col min="10253" max="10254" width="7.7109375" style="1" customWidth="1"/>
    <col min="10255" max="10255" width="9.28515625" style="1" customWidth="1"/>
    <col min="10256" max="10256" width="13.5703125" style="1" customWidth="1"/>
    <col min="10257" max="10257" width="12.7109375" style="1" customWidth="1"/>
    <col min="10258" max="10262" width="0" style="1" hidden="1" customWidth="1"/>
    <col min="10263" max="10497" width="11.42578125" style="1"/>
    <col min="10498" max="10498" width="22.42578125" style="1" customWidth="1"/>
    <col min="10499" max="10499" width="39.42578125" style="1" customWidth="1"/>
    <col min="10500" max="10500" width="20.28515625" style="1" customWidth="1"/>
    <col min="10501" max="10501" width="11.7109375" style="1" customWidth="1"/>
    <col min="10502" max="10502" width="11.5703125" style="1" customWidth="1"/>
    <col min="10503" max="10503" width="10.7109375" style="1" bestFit="1" customWidth="1"/>
    <col min="10504" max="10504" width="10" style="1" customWidth="1"/>
    <col min="10505" max="10505" width="10.5703125" style="1" customWidth="1"/>
    <col min="10506" max="10507" width="7.7109375" style="1" customWidth="1"/>
    <col min="10508" max="10508" width="8.7109375" style="1" customWidth="1"/>
    <col min="10509" max="10510" width="7.7109375" style="1" customWidth="1"/>
    <col min="10511" max="10511" width="9.28515625" style="1" customWidth="1"/>
    <col min="10512" max="10512" width="13.5703125" style="1" customWidth="1"/>
    <col min="10513" max="10513" width="12.7109375" style="1" customWidth="1"/>
    <col min="10514" max="10518" width="0" style="1" hidden="1" customWidth="1"/>
    <col min="10519" max="10753" width="11.42578125" style="1"/>
    <col min="10754" max="10754" width="22.42578125" style="1" customWidth="1"/>
    <col min="10755" max="10755" width="39.42578125" style="1" customWidth="1"/>
    <col min="10756" max="10756" width="20.28515625" style="1" customWidth="1"/>
    <col min="10757" max="10757" width="11.7109375" style="1" customWidth="1"/>
    <col min="10758" max="10758" width="11.5703125" style="1" customWidth="1"/>
    <col min="10759" max="10759" width="10.7109375" style="1" bestFit="1" customWidth="1"/>
    <col min="10760" max="10760" width="10" style="1" customWidth="1"/>
    <col min="10761" max="10761" width="10.5703125" style="1" customWidth="1"/>
    <col min="10762" max="10763" width="7.7109375" style="1" customWidth="1"/>
    <col min="10764" max="10764" width="8.7109375" style="1" customWidth="1"/>
    <col min="10765" max="10766" width="7.7109375" style="1" customWidth="1"/>
    <col min="10767" max="10767" width="9.28515625" style="1" customWidth="1"/>
    <col min="10768" max="10768" width="13.5703125" style="1" customWidth="1"/>
    <col min="10769" max="10769" width="12.7109375" style="1" customWidth="1"/>
    <col min="10770" max="10774" width="0" style="1" hidden="1" customWidth="1"/>
    <col min="10775" max="11009" width="11.42578125" style="1"/>
    <col min="11010" max="11010" width="22.42578125" style="1" customWidth="1"/>
    <col min="11011" max="11011" width="39.42578125" style="1" customWidth="1"/>
    <col min="11012" max="11012" width="20.28515625" style="1" customWidth="1"/>
    <col min="11013" max="11013" width="11.7109375" style="1" customWidth="1"/>
    <col min="11014" max="11014" width="11.5703125" style="1" customWidth="1"/>
    <col min="11015" max="11015" width="10.7109375" style="1" bestFit="1" customWidth="1"/>
    <col min="11016" max="11016" width="10" style="1" customWidth="1"/>
    <col min="11017" max="11017" width="10.5703125" style="1" customWidth="1"/>
    <col min="11018" max="11019" width="7.7109375" style="1" customWidth="1"/>
    <col min="11020" max="11020" width="8.7109375" style="1" customWidth="1"/>
    <col min="11021" max="11022" width="7.7109375" style="1" customWidth="1"/>
    <col min="11023" max="11023" width="9.28515625" style="1" customWidth="1"/>
    <col min="11024" max="11024" width="13.5703125" style="1" customWidth="1"/>
    <col min="11025" max="11025" width="12.7109375" style="1" customWidth="1"/>
    <col min="11026" max="11030" width="0" style="1" hidden="1" customWidth="1"/>
    <col min="11031" max="11265" width="11.42578125" style="1"/>
    <col min="11266" max="11266" width="22.42578125" style="1" customWidth="1"/>
    <col min="11267" max="11267" width="39.42578125" style="1" customWidth="1"/>
    <col min="11268" max="11268" width="20.28515625" style="1" customWidth="1"/>
    <col min="11269" max="11269" width="11.7109375" style="1" customWidth="1"/>
    <col min="11270" max="11270" width="11.5703125" style="1" customWidth="1"/>
    <col min="11271" max="11271" width="10.7109375" style="1" bestFit="1" customWidth="1"/>
    <col min="11272" max="11272" width="10" style="1" customWidth="1"/>
    <col min="11273" max="11273" width="10.5703125" style="1" customWidth="1"/>
    <col min="11274" max="11275" width="7.7109375" style="1" customWidth="1"/>
    <col min="11276" max="11276" width="8.7109375" style="1" customWidth="1"/>
    <col min="11277" max="11278" width="7.7109375" style="1" customWidth="1"/>
    <col min="11279" max="11279" width="9.28515625" style="1" customWidth="1"/>
    <col min="11280" max="11280" width="13.5703125" style="1" customWidth="1"/>
    <col min="11281" max="11281" width="12.7109375" style="1" customWidth="1"/>
    <col min="11282" max="11286" width="0" style="1" hidden="1" customWidth="1"/>
    <col min="11287" max="11521" width="11.42578125" style="1"/>
    <col min="11522" max="11522" width="22.42578125" style="1" customWidth="1"/>
    <col min="11523" max="11523" width="39.42578125" style="1" customWidth="1"/>
    <col min="11524" max="11524" width="20.28515625" style="1" customWidth="1"/>
    <col min="11525" max="11525" width="11.7109375" style="1" customWidth="1"/>
    <col min="11526" max="11526" width="11.5703125" style="1" customWidth="1"/>
    <col min="11527" max="11527" width="10.7109375" style="1" bestFit="1" customWidth="1"/>
    <col min="11528" max="11528" width="10" style="1" customWidth="1"/>
    <col min="11529" max="11529" width="10.5703125" style="1" customWidth="1"/>
    <col min="11530" max="11531" width="7.7109375" style="1" customWidth="1"/>
    <col min="11532" max="11532" width="8.7109375" style="1" customWidth="1"/>
    <col min="11533" max="11534" width="7.7109375" style="1" customWidth="1"/>
    <col min="11535" max="11535" width="9.28515625" style="1" customWidth="1"/>
    <col min="11536" max="11536" width="13.5703125" style="1" customWidth="1"/>
    <col min="11537" max="11537" width="12.7109375" style="1" customWidth="1"/>
    <col min="11538" max="11542" width="0" style="1" hidden="1" customWidth="1"/>
    <col min="11543" max="11777" width="11.42578125" style="1"/>
    <col min="11778" max="11778" width="22.42578125" style="1" customWidth="1"/>
    <col min="11779" max="11779" width="39.42578125" style="1" customWidth="1"/>
    <col min="11780" max="11780" width="20.28515625" style="1" customWidth="1"/>
    <col min="11781" max="11781" width="11.7109375" style="1" customWidth="1"/>
    <col min="11782" max="11782" width="11.5703125" style="1" customWidth="1"/>
    <col min="11783" max="11783" width="10.7109375" style="1" bestFit="1" customWidth="1"/>
    <col min="11784" max="11784" width="10" style="1" customWidth="1"/>
    <col min="11785" max="11785" width="10.5703125" style="1" customWidth="1"/>
    <col min="11786" max="11787" width="7.7109375" style="1" customWidth="1"/>
    <col min="11788" max="11788" width="8.7109375" style="1" customWidth="1"/>
    <col min="11789" max="11790" width="7.7109375" style="1" customWidth="1"/>
    <col min="11791" max="11791" width="9.28515625" style="1" customWidth="1"/>
    <col min="11792" max="11792" width="13.5703125" style="1" customWidth="1"/>
    <col min="11793" max="11793" width="12.7109375" style="1" customWidth="1"/>
    <col min="11794" max="11798" width="0" style="1" hidden="1" customWidth="1"/>
    <col min="11799" max="12033" width="11.42578125" style="1"/>
    <col min="12034" max="12034" width="22.42578125" style="1" customWidth="1"/>
    <col min="12035" max="12035" width="39.42578125" style="1" customWidth="1"/>
    <col min="12036" max="12036" width="20.28515625" style="1" customWidth="1"/>
    <col min="12037" max="12037" width="11.7109375" style="1" customWidth="1"/>
    <col min="12038" max="12038" width="11.5703125" style="1" customWidth="1"/>
    <col min="12039" max="12039" width="10.7109375" style="1" bestFit="1" customWidth="1"/>
    <col min="12040" max="12040" width="10" style="1" customWidth="1"/>
    <col min="12041" max="12041" width="10.5703125" style="1" customWidth="1"/>
    <col min="12042" max="12043" width="7.7109375" style="1" customWidth="1"/>
    <col min="12044" max="12044" width="8.7109375" style="1" customWidth="1"/>
    <col min="12045" max="12046" width="7.7109375" style="1" customWidth="1"/>
    <col min="12047" max="12047" width="9.28515625" style="1" customWidth="1"/>
    <col min="12048" max="12048" width="13.5703125" style="1" customWidth="1"/>
    <col min="12049" max="12049" width="12.7109375" style="1" customWidth="1"/>
    <col min="12050" max="12054" width="0" style="1" hidden="1" customWidth="1"/>
    <col min="12055" max="12289" width="11.42578125" style="1"/>
    <col min="12290" max="12290" width="22.42578125" style="1" customWidth="1"/>
    <col min="12291" max="12291" width="39.42578125" style="1" customWidth="1"/>
    <col min="12292" max="12292" width="20.28515625" style="1" customWidth="1"/>
    <col min="12293" max="12293" width="11.7109375" style="1" customWidth="1"/>
    <col min="12294" max="12294" width="11.5703125" style="1" customWidth="1"/>
    <col min="12295" max="12295" width="10.7109375" style="1" bestFit="1" customWidth="1"/>
    <col min="12296" max="12296" width="10" style="1" customWidth="1"/>
    <col min="12297" max="12297" width="10.5703125" style="1" customWidth="1"/>
    <col min="12298" max="12299" width="7.7109375" style="1" customWidth="1"/>
    <col min="12300" max="12300" width="8.7109375" style="1" customWidth="1"/>
    <col min="12301" max="12302" width="7.7109375" style="1" customWidth="1"/>
    <col min="12303" max="12303" width="9.28515625" style="1" customWidth="1"/>
    <col min="12304" max="12304" width="13.5703125" style="1" customWidth="1"/>
    <col min="12305" max="12305" width="12.7109375" style="1" customWidth="1"/>
    <col min="12306" max="12310" width="0" style="1" hidden="1" customWidth="1"/>
    <col min="12311" max="12545" width="11.42578125" style="1"/>
    <col min="12546" max="12546" width="22.42578125" style="1" customWidth="1"/>
    <col min="12547" max="12547" width="39.42578125" style="1" customWidth="1"/>
    <col min="12548" max="12548" width="20.28515625" style="1" customWidth="1"/>
    <col min="12549" max="12549" width="11.7109375" style="1" customWidth="1"/>
    <col min="12550" max="12550" width="11.5703125" style="1" customWidth="1"/>
    <col min="12551" max="12551" width="10.7109375" style="1" bestFit="1" customWidth="1"/>
    <col min="12552" max="12552" width="10" style="1" customWidth="1"/>
    <col min="12553" max="12553" width="10.5703125" style="1" customWidth="1"/>
    <col min="12554" max="12555" width="7.7109375" style="1" customWidth="1"/>
    <col min="12556" max="12556" width="8.7109375" style="1" customWidth="1"/>
    <col min="12557" max="12558" width="7.7109375" style="1" customWidth="1"/>
    <col min="12559" max="12559" width="9.28515625" style="1" customWidth="1"/>
    <col min="12560" max="12560" width="13.5703125" style="1" customWidth="1"/>
    <col min="12561" max="12561" width="12.7109375" style="1" customWidth="1"/>
    <col min="12562" max="12566" width="0" style="1" hidden="1" customWidth="1"/>
    <col min="12567" max="12801" width="11.42578125" style="1"/>
    <col min="12802" max="12802" width="22.42578125" style="1" customWidth="1"/>
    <col min="12803" max="12803" width="39.42578125" style="1" customWidth="1"/>
    <col min="12804" max="12804" width="20.28515625" style="1" customWidth="1"/>
    <col min="12805" max="12805" width="11.7109375" style="1" customWidth="1"/>
    <col min="12806" max="12806" width="11.5703125" style="1" customWidth="1"/>
    <col min="12807" max="12807" width="10.7109375" style="1" bestFit="1" customWidth="1"/>
    <col min="12808" max="12808" width="10" style="1" customWidth="1"/>
    <col min="12809" max="12809" width="10.5703125" style="1" customWidth="1"/>
    <col min="12810" max="12811" width="7.7109375" style="1" customWidth="1"/>
    <col min="12812" max="12812" width="8.7109375" style="1" customWidth="1"/>
    <col min="12813" max="12814" width="7.7109375" style="1" customWidth="1"/>
    <col min="12815" max="12815" width="9.28515625" style="1" customWidth="1"/>
    <col min="12816" max="12816" width="13.5703125" style="1" customWidth="1"/>
    <col min="12817" max="12817" width="12.7109375" style="1" customWidth="1"/>
    <col min="12818" max="12822" width="0" style="1" hidden="1" customWidth="1"/>
    <col min="12823" max="13057" width="11.42578125" style="1"/>
    <col min="13058" max="13058" width="22.42578125" style="1" customWidth="1"/>
    <col min="13059" max="13059" width="39.42578125" style="1" customWidth="1"/>
    <col min="13060" max="13060" width="20.28515625" style="1" customWidth="1"/>
    <col min="13061" max="13061" width="11.7109375" style="1" customWidth="1"/>
    <col min="13062" max="13062" width="11.5703125" style="1" customWidth="1"/>
    <col min="13063" max="13063" width="10.7109375" style="1" bestFit="1" customWidth="1"/>
    <col min="13064" max="13064" width="10" style="1" customWidth="1"/>
    <col min="13065" max="13065" width="10.5703125" style="1" customWidth="1"/>
    <col min="13066" max="13067" width="7.7109375" style="1" customWidth="1"/>
    <col min="13068" max="13068" width="8.7109375" style="1" customWidth="1"/>
    <col min="13069" max="13070" width="7.7109375" style="1" customWidth="1"/>
    <col min="13071" max="13071" width="9.28515625" style="1" customWidth="1"/>
    <col min="13072" max="13072" width="13.5703125" style="1" customWidth="1"/>
    <col min="13073" max="13073" width="12.7109375" style="1" customWidth="1"/>
    <col min="13074" max="13078" width="0" style="1" hidden="1" customWidth="1"/>
    <col min="13079" max="13313" width="11.42578125" style="1"/>
    <col min="13314" max="13314" width="22.42578125" style="1" customWidth="1"/>
    <col min="13315" max="13315" width="39.42578125" style="1" customWidth="1"/>
    <col min="13316" max="13316" width="20.28515625" style="1" customWidth="1"/>
    <col min="13317" max="13317" width="11.7109375" style="1" customWidth="1"/>
    <col min="13318" max="13318" width="11.5703125" style="1" customWidth="1"/>
    <col min="13319" max="13319" width="10.7109375" style="1" bestFit="1" customWidth="1"/>
    <col min="13320" max="13320" width="10" style="1" customWidth="1"/>
    <col min="13321" max="13321" width="10.5703125" style="1" customWidth="1"/>
    <col min="13322" max="13323" width="7.7109375" style="1" customWidth="1"/>
    <col min="13324" max="13324" width="8.7109375" style="1" customWidth="1"/>
    <col min="13325" max="13326" width="7.7109375" style="1" customWidth="1"/>
    <col min="13327" max="13327" width="9.28515625" style="1" customWidth="1"/>
    <col min="13328" max="13328" width="13.5703125" style="1" customWidth="1"/>
    <col min="13329" max="13329" width="12.7109375" style="1" customWidth="1"/>
    <col min="13330" max="13334" width="0" style="1" hidden="1" customWidth="1"/>
    <col min="13335" max="13569" width="11.42578125" style="1"/>
    <col min="13570" max="13570" width="22.42578125" style="1" customWidth="1"/>
    <col min="13571" max="13571" width="39.42578125" style="1" customWidth="1"/>
    <col min="13572" max="13572" width="20.28515625" style="1" customWidth="1"/>
    <col min="13573" max="13573" width="11.7109375" style="1" customWidth="1"/>
    <col min="13574" max="13574" width="11.5703125" style="1" customWidth="1"/>
    <col min="13575" max="13575" width="10.7109375" style="1" bestFit="1" customWidth="1"/>
    <col min="13576" max="13576" width="10" style="1" customWidth="1"/>
    <col min="13577" max="13577" width="10.5703125" style="1" customWidth="1"/>
    <col min="13578" max="13579" width="7.7109375" style="1" customWidth="1"/>
    <col min="13580" max="13580" width="8.7109375" style="1" customWidth="1"/>
    <col min="13581" max="13582" width="7.7109375" style="1" customWidth="1"/>
    <col min="13583" max="13583" width="9.28515625" style="1" customWidth="1"/>
    <col min="13584" max="13584" width="13.5703125" style="1" customWidth="1"/>
    <col min="13585" max="13585" width="12.7109375" style="1" customWidth="1"/>
    <col min="13586" max="13590" width="0" style="1" hidden="1" customWidth="1"/>
    <col min="13591" max="13825" width="11.42578125" style="1"/>
    <col min="13826" max="13826" width="22.42578125" style="1" customWidth="1"/>
    <col min="13827" max="13827" width="39.42578125" style="1" customWidth="1"/>
    <col min="13828" max="13828" width="20.28515625" style="1" customWidth="1"/>
    <col min="13829" max="13829" width="11.7109375" style="1" customWidth="1"/>
    <col min="13830" max="13830" width="11.5703125" style="1" customWidth="1"/>
    <col min="13831" max="13831" width="10.7109375" style="1" bestFit="1" customWidth="1"/>
    <col min="13832" max="13832" width="10" style="1" customWidth="1"/>
    <col min="13833" max="13833" width="10.5703125" style="1" customWidth="1"/>
    <col min="13834" max="13835" width="7.7109375" style="1" customWidth="1"/>
    <col min="13836" max="13836" width="8.7109375" style="1" customWidth="1"/>
    <col min="13837" max="13838" width="7.7109375" style="1" customWidth="1"/>
    <col min="13839" max="13839" width="9.28515625" style="1" customWidth="1"/>
    <col min="13840" max="13840" width="13.5703125" style="1" customWidth="1"/>
    <col min="13841" max="13841" width="12.7109375" style="1" customWidth="1"/>
    <col min="13842" max="13846" width="0" style="1" hidden="1" customWidth="1"/>
    <col min="13847" max="14081" width="11.42578125" style="1"/>
    <col min="14082" max="14082" width="22.42578125" style="1" customWidth="1"/>
    <col min="14083" max="14083" width="39.42578125" style="1" customWidth="1"/>
    <col min="14084" max="14084" width="20.28515625" style="1" customWidth="1"/>
    <col min="14085" max="14085" width="11.7109375" style="1" customWidth="1"/>
    <col min="14086" max="14086" width="11.5703125" style="1" customWidth="1"/>
    <col min="14087" max="14087" width="10.7109375" style="1" bestFit="1" customWidth="1"/>
    <col min="14088" max="14088" width="10" style="1" customWidth="1"/>
    <col min="14089" max="14089" width="10.5703125" style="1" customWidth="1"/>
    <col min="14090" max="14091" width="7.7109375" style="1" customWidth="1"/>
    <col min="14092" max="14092" width="8.7109375" style="1" customWidth="1"/>
    <col min="14093" max="14094" width="7.7109375" style="1" customWidth="1"/>
    <col min="14095" max="14095" width="9.28515625" style="1" customWidth="1"/>
    <col min="14096" max="14096" width="13.5703125" style="1" customWidth="1"/>
    <col min="14097" max="14097" width="12.7109375" style="1" customWidth="1"/>
    <col min="14098" max="14102" width="0" style="1" hidden="1" customWidth="1"/>
    <col min="14103" max="14337" width="11.42578125" style="1"/>
    <col min="14338" max="14338" width="22.42578125" style="1" customWidth="1"/>
    <col min="14339" max="14339" width="39.42578125" style="1" customWidth="1"/>
    <col min="14340" max="14340" width="20.28515625" style="1" customWidth="1"/>
    <col min="14341" max="14341" width="11.7109375" style="1" customWidth="1"/>
    <col min="14342" max="14342" width="11.5703125" style="1" customWidth="1"/>
    <col min="14343" max="14343" width="10.7109375" style="1" bestFit="1" customWidth="1"/>
    <col min="14344" max="14344" width="10" style="1" customWidth="1"/>
    <col min="14345" max="14345" width="10.5703125" style="1" customWidth="1"/>
    <col min="14346" max="14347" width="7.7109375" style="1" customWidth="1"/>
    <col min="14348" max="14348" width="8.7109375" style="1" customWidth="1"/>
    <col min="14349" max="14350" width="7.7109375" style="1" customWidth="1"/>
    <col min="14351" max="14351" width="9.28515625" style="1" customWidth="1"/>
    <col min="14352" max="14352" width="13.5703125" style="1" customWidth="1"/>
    <col min="14353" max="14353" width="12.7109375" style="1" customWidth="1"/>
    <col min="14354" max="14358" width="0" style="1" hidden="1" customWidth="1"/>
    <col min="14359" max="14593" width="11.42578125" style="1"/>
    <col min="14594" max="14594" width="22.42578125" style="1" customWidth="1"/>
    <col min="14595" max="14595" width="39.42578125" style="1" customWidth="1"/>
    <col min="14596" max="14596" width="20.28515625" style="1" customWidth="1"/>
    <col min="14597" max="14597" width="11.7109375" style="1" customWidth="1"/>
    <col min="14598" max="14598" width="11.5703125" style="1" customWidth="1"/>
    <col min="14599" max="14599" width="10.7109375" style="1" bestFit="1" customWidth="1"/>
    <col min="14600" max="14600" width="10" style="1" customWidth="1"/>
    <col min="14601" max="14601" width="10.5703125" style="1" customWidth="1"/>
    <col min="14602" max="14603" width="7.7109375" style="1" customWidth="1"/>
    <col min="14604" max="14604" width="8.7109375" style="1" customWidth="1"/>
    <col min="14605" max="14606" width="7.7109375" style="1" customWidth="1"/>
    <col min="14607" max="14607" width="9.28515625" style="1" customWidth="1"/>
    <col min="14608" max="14608" width="13.5703125" style="1" customWidth="1"/>
    <col min="14609" max="14609" width="12.7109375" style="1" customWidth="1"/>
    <col min="14610" max="14614" width="0" style="1" hidden="1" customWidth="1"/>
    <col min="14615" max="14849" width="11.42578125" style="1"/>
    <col min="14850" max="14850" width="22.42578125" style="1" customWidth="1"/>
    <col min="14851" max="14851" width="39.42578125" style="1" customWidth="1"/>
    <col min="14852" max="14852" width="20.28515625" style="1" customWidth="1"/>
    <col min="14853" max="14853" width="11.7109375" style="1" customWidth="1"/>
    <col min="14854" max="14854" width="11.5703125" style="1" customWidth="1"/>
    <col min="14855" max="14855" width="10.7109375" style="1" bestFit="1" customWidth="1"/>
    <col min="14856" max="14856" width="10" style="1" customWidth="1"/>
    <col min="14857" max="14857" width="10.5703125" style="1" customWidth="1"/>
    <col min="14858" max="14859" width="7.7109375" style="1" customWidth="1"/>
    <col min="14860" max="14860" width="8.7109375" style="1" customWidth="1"/>
    <col min="14861" max="14862" width="7.7109375" style="1" customWidth="1"/>
    <col min="14863" max="14863" width="9.28515625" style="1" customWidth="1"/>
    <col min="14864" max="14864" width="13.5703125" style="1" customWidth="1"/>
    <col min="14865" max="14865" width="12.7109375" style="1" customWidth="1"/>
    <col min="14866" max="14870" width="0" style="1" hidden="1" customWidth="1"/>
    <col min="14871" max="15105" width="11.42578125" style="1"/>
    <col min="15106" max="15106" width="22.42578125" style="1" customWidth="1"/>
    <col min="15107" max="15107" width="39.42578125" style="1" customWidth="1"/>
    <col min="15108" max="15108" width="20.28515625" style="1" customWidth="1"/>
    <col min="15109" max="15109" width="11.7109375" style="1" customWidth="1"/>
    <col min="15110" max="15110" width="11.5703125" style="1" customWidth="1"/>
    <col min="15111" max="15111" width="10.7109375" style="1" bestFit="1" customWidth="1"/>
    <col min="15112" max="15112" width="10" style="1" customWidth="1"/>
    <col min="15113" max="15113" width="10.5703125" style="1" customWidth="1"/>
    <col min="15114" max="15115" width="7.7109375" style="1" customWidth="1"/>
    <col min="15116" max="15116" width="8.7109375" style="1" customWidth="1"/>
    <col min="15117" max="15118" width="7.7109375" style="1" customWidth="1"/>
    <col min="15119" max="15119" width="9.28515625" style="1" customWidth="1"/>
    <col min="15120" max="15120" width="13.5703125" style="1" customWidth="1"/>
    <col min="15121" max="15121" width="12.7109375" style="1" customWidth="1"/>
    <col min="15122" max="15126" width="0" style="1" hidden="1" customWidth="1"/>
    <col min="15127" max="15361" width="11.42578125" style="1"/>
    <col min="15362" max="15362" width="22.42578125" style="1" customWidth="1"/>
    <col min="15363" max="15363" width="39.42578125" style="1" customWidth="1"/>
    <col min="15364" max="15364" width="20.28515625" style="1" customWidth="1"/>
    <col min="15365" max="15365" width="11.7109375" style="1" customWidth="1"/>
    <col min="15366" max="15366" width="11.5703125" style="1" customWidth="1"/>
    <col min="15367" max="15367" width="10.7109375" style="1" bestFit="1" customWidth="1"/>
    <col min="15368" max="15368" width="10" style="1" customWidth="1"/>
    <col min="15369" max="15369" width="10.5703125" style="1" customWidth="1"/>
    <col min="15370" max="15371" width="7.7109375" style="1" customWidth="1"/>
    <col min="15372" max="15372" width="8.7109375" style="1" customWidth="1"/>
    <col min="15373" max="15374" width="7.7109375" style="1" customWidth="1"/>
    <col min="15375" max="15375" width="9.28515625" style="1" customWidth="1"/>
    <col min="15376" max="15376" width="13.5703125" style="1" customWidth="1"/>
    <col min="15377" max="15377" width="12.7109375" style="1" customWidth="1"/>
    <col min="15378" max="15382" width="0" style="1" hidden="1" customWidth="1"/>
    <col min="15383" max="15617" width="11.42578125" style="1"/>
    <col min="15618" max="15618" width="22.42578125" style="1" customWidth="1"/>
    <col min="15619" max="15619" width="39.42578125" style="1" customWidth="1"/>
    <col min="15620" max="15620" width="20.28515625" style="1" customWidth="1"/>
    <col min="15621" max="15621" width="11.7109375" style="1" customWidth="1"/>
    <col min="15622" max="15622" width="11.5703125" style="1" customWidth="1"/>
    <col min="15623" max="15623" width="10.7109375" style="1" bestFit="1" customWidth="1"/>
    <col min="15624" max="15624" width="10" style="1" customWidth="1"/>
    <col min="15625" max="15625" width="10.5703125" style="1" customWidth="1"/>
    <col min="15626" max="15627" width="7.7109375" style="1" customWidth="1"/>
    <col min="15628" max="15628" width="8.7109375" style="1" customWidth="1"/>
    <col min="15629" max="15630" width="7.7109375" style="1" customWidth="1"/>
    <col min="15631" max="15631" width="9.28515625" style="1" customWidth="1"/>
    <col min="15632" max="15632" width="13.5703125" style="1" customWidth="1"/>
    <col min="15633" max="15633" width="12.7109375" style="1" customWidth="1"/>
    <col min="15634" max="15638" width="0" style="1" hidden="1" customWidth="1"/>
    <col min="15639" max="15873" width="11.42578125" style="1"/>
    <col min="15874" max="15874" width="22.42578125" style="1" customWidth="1"/>
    <col min="15875" max="15875" width="39.42578125" style="1" customWidth="1"/>
    <col min="15876" max="15876" width="20.28515625" style="1" customWidth="1"/>
    <col min="15877" max="15877" width="11.7109375" style="1" customWidth="1"/>
    <col min="15878" max="15878" width="11.5703125" style="1" customWidth="1"/>
    <col min="15879" max="15879" width="10.7109375" style="1" bestFit="1" customWidth="1"/>
    <col min="15880" max="15880" width="10" style="1" customWidth="1"/>
    <col min="15881" max="15881" width="10.5703125" style="1" customWidth="1"/>
    <col min="15882" max="15883" width="7.7109375" style="1" customWidth="1"/>
    <col min="15884" max="15884" width="8.7109375" style="1" customWidth="1"/>
    <col min="15885" max="15886" width="7.7109375" style="1" customWidth="1"/>
    <col min="15887" max="15887" width="9.28515625" style="1" customWidth="1"/>
    <col min="15888" max="15888" width="13.5703125" style="1" customWidth="1"/>
    <col min="15889" max="15889" width="12.7109375" style="1" customWidth="1"/>
    <col min="15890" max="15894" width="0" style="1" hidden="1" customWidth="1"/>
    <col min="15895" max="16129" width="11.42578125" style="1"/>
    <col min="16130" max="16130" width="22.42578125" style="1" customWidth="1"/>
    <col min="16131" max="16131" width="39.42578125" style="1" customWidth="1"/>
    <col min="16132" max="16132" width="20.28515625" style="1" customWidth="1"/>
    <col min="16133" max="16133" width="11.7109375" style="1" customWidth="1"/>
    <col min="16134" max="16134" width="11.5703125" style="1" customWidth="1"/>
    <col min="16135" max="16135" width="10.7109375" style="1" bestFit="1" customWidth="1"/>
    <col min="16136" max="16136" width="10" style="1" customWidth="1"/>
    <col min="16137" max="16137" width="10.5703125" style="1" customWidth="1"/>
    <col min="16138" max="16139" width="7.7109375" style="1" customWidth="1"/>
    <col min="16140" max="16140" width="8.7109375" style="1" customWidth="1"/>
    <col min="16141" max="16142" width="7.7109375" style="1" customWidth="1"/>
    <col min="16143" max="16143" width="9.28515625" style="1" customWidth="1"/>
    <col min="16144" max="16144" width="13.5703125" style="1" customWidth="1"/>
    <col min="16145" max="16145" width="12.7109375" style="1" customWidth="1"/>
    <col min="16146" max="16150" width="0" style="1" hidden="1" customWidth="1"/>
    <col min="16151" max="16384" width="11.42578125" style="1"/>
  </cols>
  <sheetData>
    <row r="1" spans="1:23" ht="13.5" thickBot="1" x14ac:dyDescent="0.25"/>
    <row r="2" spans="1:23" ht="14.25" customHeight="1" x14ac:dyDescent="0.2">
      <c r="A2" s="293" t="s">
        <v>0</v>
      </c>
      <c r="B2" s="296" t="s">
        <v>58</v>
      </c>
      <c r="C2" s="296" t="s">
        <v>59</v>
      </c>
      <c r="D2" s="125"/>
      <c r="E2" s="300" t="s">
        <v>1</v>
      </c>
      <c r="F2" s="300"/>
      <c r="G2" s="300"/>
      <c r="H2" s="300"/>
      <c r="I2" s="300"/>
      <c r="J2" s="300"/>
      <c r="K2" s="300"/>
      <c r="L2" s="300"/>
      <c r="M2" s="300"/>
      <c r="N2" s="300"/>
      <c r="O2" s="300"/>
      <c r="P2" s="300"/>
      <c r="Q2" s="334" t="s">
        <v>273</v>
      </c>
      <c r="R2" s="341" t="s">
        <v>2</v>
      </c>
      <c r="S2" s="341" t="s">
        <v>3</v>
      </c>
      <c r="T2" s="344"/>
      <c r="U2" s="334" t="s">
        <v>4</v>
      </c>
      <c r="V2" s="337" t="s">
        <v>272</v>
      </c>
    </row>
    <row r="3" spans="1:23" ht="19.5" customHeight="1" x14ac:dyDescent="0.2">
      <c r="A3" s="294"/>
      <c r="B3" s="297"/>
      <c r="C3" s="297"/>
      <c r="D3" s="126"/>
      <c r="E3" s="340" t="s">
        <v>213</v>
      </c>
      <c r="F3" s="340"/>
      <c r="G3" s="340"/>
      <c r="H3" s="340"/>
      <c r="I3" s="340"/>
      <c r="J3" s="340"/>
      <c r="K3" s="340"/>
      <c r="L3" s="340"/>
      <c r="M3" s="340"/>
      <c r="N3" s="340"/>
      <c r="O3" s="340"/>
      <c r="P3" s="340"/>
      <c r="Q3" s="335"/>
      <c r="R3" s="342"/>
      <c r="S3" s="342"/>
      <c r="T3" s="345"/>
      <c r="U3" s="335"/>
      <c r="V3" s="338"/>
    </row>
    <row r="4" spans="1:23" ht="19.5" customHeight="1" x14ac:dyDescent="0.2">
      <c r="A4" s="294"/>
      <c r="B4" s="298"/>
      <c r="C4" s="298"/>
      <c r="D4" s="399" t="s">
        <v>5</v>
      </c>
      <c r="E4" s="340" t="s">
        <v>6</v>
      </c>
      <c r="F4" s="340"/>
      <c r="G4" s="340"/>
      <c r="H4" s="340"/>
      <c r="I4" s="340"/>
      <c r="J4" s="340"/>
      <c r="K4" s="340" t="s">
        <v>7</v>
      </c>
      <c r="L4" s="340"/>
      <c r="M4" s="340"/>
      <c r="N4" s="340"/>
      <c r="O4" s="340"/>
      <c r="P4" s="340"/>
      <c r="Q4" s="335" t="s">
        <v>8</v>
      </c>
      <c r="R4" s="342"/>
      <c r="S4" s="342"/>
      <c r="T4" s="345"/>
      <c r="U4" s="335"/>
      <c r="V4" s="338"/>
    </row>
    <row r="5" spans="1:23" ht="21.75" customHeight="1" x14ac:dyDescent="0.2">
      <c r="A5" s="294"/>
      <c r="B5" s="298"/>
      <c r="C5" s="298"/>
      <c r="D5" s="400"/>
      <c r="E5" s="340" t="s">
        <v>9</v>
      </c>
      <c r="F5" s="340"/>
      <c r="G5" s="340"/>
      <c r="H5" s="340" t="s">
        <v>10</v>
      </c>
      <c r="I5" s="340"/>
      <c r="J5" s="340"/>
      <c r="K5" s="340" t="s">
        <v>11</v>
      </c>
      <c r="L5" s="340"/>
      <c r="M5" s="340"/>
      <c r="N5" s="340" t="s">
        <v>12</v>
      </c>
      <c r="O5" s="340"/>
      <c r="P5" s="340"/>
      <c r="Q5" s="335"/>
      <c r="R5" s="342"/>
      <c r="S5" s="342"/>
      <c r="T5" s="345"/>
      <c r="U5" s="335"/>
      <c r="V5" s="338"/>
    </row>
    <row r="6" spans="1:23" ht="36.75" customHeight="1" thickBot="1" x14ac:dyDescent="0.25">
      <c r="A6" s="295"/>
      <c r="B6" s="299"/>
      <c r="C6" s="299"/>
      <c r="D6" s="401"/>
      <c r="E6" s="127" t="s">
        <v>13</v>
      </c>
      <c r="F6" s="127" t="s">
        <v>14</v>
      </c>
      <c r="G6" s="127" t="s">
        <v>15</v>
      </c>
      <c r="H6" s="127" t="s">
        <v>16</v>
      </c>
      <c r="I6" s="127" t="s">
        <v>17</v>
      </c>
      <c r="J6" s="127" t="s">
        <v>18</v>
      </c>
      <c r="K6" s="127" t="s">
        <v>19</v>
      </c>
      <c r="L6" s="127" t="s">
        <v>20</v>
      </c>
      <c r="M6" s="127" t="s">
        <v>21</v>
      </c>
      <c r="N6" s="127" t="s">
        <v>22</v>
      </c>
      <c r="O6" s="127" t="s">
        <v>23</v>
      </c>
      <c r="P6" s="127" t="s">
        <v>24</v>
      </c>
      <c r="Q6" s="336"/>
      <c r="R6" s="343"/>
      <c r="S6" s="343"/>
      <c r="T6" s="346"/>
      <c r="U6" s="336"/>
      <c r="V6" s="339"/>
    </row>
    <row r="7" spans="1:23" ht="66.75" hidden="1" customHeight="1" x14ac:dyDescent="0.2">
      <c r="A7" s="301" t="s">
        <v>25</v>
      </c>
      <c r="B7" s="219" t="s">
        <v>60</v>
      </c>
      <c r="C7" s="93" t="s">
        <v>61</v>
      </c>
      <c r="D7" s="220">
        <v>0.8</v>
      </c>
      <c r="E7" s="304"/>
      <c r="F7" s="304"/>
      <c r="G7" s="304"/>
      <c r="H7" s="304"/>
      <c r="I7" s="304"/>
      <c r="J7" s="304"/>
      <c r="K7" s="304"/>
      <c r="L7" s="304"/>
      <c r="M7" s="304"/>
      <c r="N7" s="304"/>
      <c r="O7" s="304"/>
      <c r="P7" s="304"/>
      <c r="Q7" s="72" t="e">
        <f>AVERAGE(E7:P7)</f>
        <v>#DIV/0!</v>
      </c>
      <c r="R7" s="128" t="s">
        <v>27</v>
      </c>
      <c r="S7" s="73" t="s">
        <v>28</v>
      </c>
      <c r="T7" s="74"/>
      <c r="U7" s="75">
        <v>1</v>
      </c>
      <c r="V7" s="76"/>
    </row>
    <row r="8" spans="1:23" ht="102.75" customHeight="1" x14ac:dyDescent="0.2">
      <c r="A8" s="302"/>
      <c r="B8" s="45" t="s">
        <v>284</v>
      </c>
      <c r="C8" s="89" t="s">
        <v>62</v>
      </c>
      <c r="D8" s="98">
        <v>0.98</v>
      </c>
      <c r="E8" s="305">
        <f>1476/1481</f>
        <v>0.99662390276839974</v>
      </c>
      <c r="F8" s="305"/>
      <c r="G8" s="305"/>
      <c r="H8" s="305"/>
      <c r="I8" s="305"/>
      <c r="J8" s="305"/>
      <c r="K8" s="305">
        <f>1064/1072</f>
        <v>0.9925373134328358</v>
      </c>
      <c r="L8" s="305"/>
      <c r="M8" s="305"/>
      <c r="N8" s="305"/>
      <c r="O8" s="305"/>
      <c r="P8" s="305"/>
      <c r="Q8" s="71">
        <f>IF(AND((E8=0),(K8=0)),"ND",AVERAGE(E8:P8))</f>
        <v>0.99458060810061777</v>
      </c>
      <c r="R8" s="16" t="s">
        <v>27</v>
      </c>
      <c r="S8" s="17" t="s">
        <v>29</v>
      </c>
      <c r="T8" s="18"/>
      <c r="U8" s="19">
        <v>1</v>
      </c>
      <c r="V8" s="77">
        <v>1</v>
      </c>
      <c r="W8" s="124"/>
    </row>
    <row r="9" spans="1:23" ht="73.5" customHeight="1" x14ac:dyDescent="0.2">
      <c r="A9" s="302"/>
      <c r="B9" s="44" t="s">
        <v>197</v>
      </c>
      <c r="C9" s="89" t="s">
        <v>63</v>
      </c>
      <c r="D9" s="98">
        <v>0.9</v>
      </c>
      <c r="E9" s="305">
        <f>241/248</f>
        <v>0.97177419354838712</v>
      </c>
      <c r="F9" s="305"/>
      <c r="G9" s="305"/>
      <c r="H9" s="305"/>
      <c r="I9" s="305"/>
      <c r="J9" s="305"/>
      <c r="K9" s="305">
        <f>252/258</f>
        <v>0.97674418604651159</v>
      </c>
      <c r="L9" s="305"/>
      <c r="M9" s="305"/>
      <c r="N9" s="305"/>
      <c r="O9" s="305"/>
      <c r="P9" s="305"/>
      <c r="Q9" s="71">
        <f t="shared" ref="Q9:Q17" si="0">IF(AND((E9=0),(K9=0)),"ND",AVERAGE(E9:P9))</f>
        <v>0.9742591897974493</v>
      </c>
      <c r="R9" s="16" t="s">
        <v>27</v>
      </c>
      <c r="S9" s="30" t="s">
        <v>6</v>
      </c>
      <c r="T9" s="18"/>
      <c r="U9" s="19">
        <v>1</v>
      </c>
      <c r="V9" s="77">
        <v>1</v>
      </c>
    </row>
    <row r="10" spans="1:23" ht="110.25" customHeight="1" thickBot="1" x14ac:dyDescent="0.25">
      <c r="A10" s="303"/>
      <c r="B10" s="221" t="s">
        <v>285</v>
      </c>
      <c r="C10" s="90" t="s">
        <v>64</v>
      </c>
      <c r="D10" s="163">
        <v>0.98</v>
      </c>
      <c r="E10" s="284">
        <f>1475/1481</f>
        <v>0.99594868332207964</v>
      </c>
      <c r="F10" s="284"/>
      <c r="G10" s="284"/>
      <c r="H10" s="284"/>
      <c r="I10" s="284"/>
      <c r="J10" s="284"/>
      <c r="K10" s="284">
        <f>1066/1072</f>
        <v>0.99440298507462688</v>
      </c>
      <c r="L10" s="284"/>
      <c r="M10" s="284"/>
      <c r="N10" s="284"/>
      <c r="O10" s="284"/>
      <c r="P10" s="284"/>
      <c r="Q10" s="159">
        <f t="shared" si="0"/>
        <v>0.9951758341983532</v>
      </c>
      <c r="R10" s="130"/>
      <c r="S10" s="160"/>
      <c r="T10" s="78"/>
      <c r="U10" s="79">
        <v>1</v>
      </c>
      <c r="V10" s="80">
        <v>1</v>
      </c>
    </row>
    <row r="11" spans="1:23" ht="18" hidden="1" customHeight="1" x14ac:dyDescent="0.2">
      <c r="A11" s="306" t="s">
        <v>33</v>
      </c>
      <c r="B11" s="208" t="s">
        <v>65</v>
      </c>
      <c r="C11" s="93"/>
      <c r="D11" s="218">
        <v>0.7</v>
      </c>
      <c r="E11" s="309"/>
      <c r="F11" s="309"/>
      <c r="G11" s="309"/>
      <c r="H11" s="309"/>
      <c r="I11" s="309"/>
      <c r="J11" s="309"/>
      <c r="K11" s="309"/>
      <c r="L11" s="309"/>
      <c r="M11" s="309"/>
      <c r="N11" s="309"/>
      <c r="O11" s="309"/>
      <c r="P11" s="309"/>
      <c r="Q11" s="72" t="str">
        <f t="shared" si="0"/>
        <v>ND</v>
      </c>
      <c r="R11" s="128" t="s">
        <v>27</v>
      </c>
      <c r="S11" s="6" t="s">
        <v>13</v>
      </c>
      <c r="T11" s="74"/>
      <c r="U11" s="75">
        <v>1</v>
      </c>
      <c r="V11" s="76"/>
    </row>
    <row r="12" spans="1:23" ht="21.75" hidden="1" customHeight="1" x14ac:dyDescent="0.2">
      <c r="A12" s="307"/>
      <c r="B12" s="91" t="s">
        <v>66</v>
      </c>
      <c r="C12" s="89"/>
      <c r="D12" s="47">
        <v>0.1</v>
      </c>
      <c r="E12" s="263"/>
      <c r="F12" s="263"/>
      <c r="G12" s="263"/>
      <c r="H12" s="263"/>
      <c r="I12" s="263"/>
      <c r="J12" s="263"/>
      <c r="K12" s="263"/>
      <c r="L12" s="263"/>
      <c r="M12" s="263"/>
      <c r="N12" s="263"/>
      <c r="O12" s="263"/>
      <c r="P12" s="263"/>
      <c r="Q12" s="71" t="str">
        <f t="shared" si="0"/>
        <v>ND</v>
      </c>
      <c r="R12" s="16"/>
      <c r="S12" s="17"/>
      <c r="T12" s="18"/>
      <c r="U12" s="19"/>
      <c r="V12" s="77"/>
    </row>
    <row r="13" spans="1:23" ht="30.75" hidden="1" customHeight="1" x14ac:dyDescent="0.2">
      <c r="A13" s="307"/>
      <c r="B13" s="91" t="s">
        <v>67</v>
      </c>
      <c r="C13" s="89"/>
      <c r="D13" s="47">
        <v>0.2</v>
      </c>
      <c r="E13" s="263"/>
      <c r="F13" s="263"/>
      <c r="G13" s="263"/>
      <c r="H13" s="263"/>
      <c r="I13" s="263"/>
      <c r="J13" s="263"/>
      <c r="K13" s="263"/>
      <c r="L13" s="263"/>
      <c r="M13" s="263"/>
      <c r="N13" s="263"/>
      <c r="O13" s="263"/>
      <c r="P13" s="263"/>
      <c r="Q13" s="71" t="str">
        <f t="shared" si="0"/>
        <v>ND</v>
      </c>
      <c r="R13" s="16"/>
      <c r="S13" s="17"/>
      <c r="T13" s="18"/>
      <c r="U13" s="19"/>
      <c r="V13" s="77"/>
    </row>
    <row r="14" spans="1:23" ht="81.75" customHeight="1" x14ac:dyDescent="0.2">
      <c r="A14" s="307"/>
      <c r="B14" s="46" t="s">
        <v>198</v>
      </c>
      <c r="C14" s="89" t="s">
        <v>68</v>
      </c>
      <c r="D14" s="99">
        <v>0.8</v>
      </c>
      <c r="E14" s="305">
        <f>438/515</f>
        <v>0.85048543689320388</v>
      </c>
      <c r="F14" s="305"/>
      <c r="G14" s="305"/>
      <c r="H14" s="305"/>
      <c r="I14" s="305"/>
      <c r="J14" s="305"/>
      <c r="K14" s="305">
        <f>345/423</f>
        <v>0.81560283687943258</v>
      </c>
      <c r="L14" s="305"/>
      <c r="M14" s="305"/>
      <c r="N14" s="305"/>
      <c r="O14" s="305"/>
      <c r="P14" s="305"/>
      <c r="Q14" s="71">
        <f t="shared" si="0"/>
        <v>0.83304413688631818</v>
      </c>
      <c r="R14" s="16"/>
      <c r="S14" s="17"/>
      <c r="T14" s="18"/>
      <c r="U14" s="19"/>
      <c r="V14" s="77">
        <v>1</v>
      </c>
    </row>
    <row r="15" spans="1:23" ht="84.75" customHeight="1" thickBot="1" x14ac:dyDescent="0.25">
      <c r="A15" s="308"/>
      <c r="B15" s="14" t="s">
        <v>214</v>
      </c>
      <c r="C15" s="14" t="s">
        <v>69</v>
      </c>
      <c r="D15" s="100">
        <v>0.8</v>
      </c>
      <c r="E15" s="284">
        <f>252/258</f>
        <v>0.97674418604651159</v>
      </c>
      <c r="F15" s="284"/>
      <c r="G15" s="284"/>
      <c r="H15" s="284"/>
      <c r="I15" s="284"/>
      <c r="J15" s="284"/>
      <c r="K15" s="284">
        <f>259/260</f>
        <v>0.99615384615384617</v>
      </c>
      <c r="L15" s="284"/>
      <c r="M15" s="284"/>
      <c r="N15" s="284"/>
      <c r="O15" s="284"/>
      <c r="P15" s="284"/>
      <c r="Q15" s="159">
        <f t="shared" si="0"/>
        <v>0.98644901610017888</v>
      </c>
      <c r="R15" s="130"/>
      <c r="S15" s="7"/>
      <c r="T15" s="78"/>
      <c r="U15" s="79"/>
      <c r="V15" s="80">
        <v>1</v>
      </c>
    </row>
    <row r="16" spans="1:23" ht="112.5" customHeight="1" x14ac:dyDescent="0.2">
      <c r="A16" s="396" t="s">
        <v>34</v>
      </c>
      <c r="B16" s="216" t="s">
        <v>215</v>
      </c>
      <c r="C16" s="93" t="s">
        <v>126</v>
      </c>
      <c r="D16" s="205">
        <v>0.8</v>
      </c>
      <c r="E16" s="331">
        <f>124/124</f>
        <v>1</v>
      </c>
      <c r="F16" s="331"/>
      <c r="G16" s="331"/>
      <c r="H16" s="331"/>
      <c r="I16" s="331"/>
      <c r="J16" s="331"/>
      <c r="K16" s="331">
        <f>132/132</f>
        <v>1</v>
      </c>
      <c r="L16" s="331"/>
      <c r="M16" s="331"/>
      <c r="N16" s="331"/>
      <c r="O16" s="331"/>
      <c r="P16" s="331"/>
      <c r="Q16" s="72">
        <f t="shared" si="0"/>
        <v>1</v>
      </c>
      <c r="R16" s="128" t="s">
        <v>27</v>
      </c>
      <c r="S16" s="6"/>
      <c r="T16" s="74"/>
      <c r="U16" s="75">
        <v>1</v>
      </c>
      <c r="V16" s="76">
        <v>1</v>
      </c>
    </row>
    <row r="17" spans="1:24" ht="96.75" customHeight="1" x14ac:dyDescent="0.2">
      <c r="A17" s="397"/>
      <c r="B17" s="46" t="s">
        <v>283</v>
      </c>
      <c r="C17" s="89" t="s">
        <v>70</v>
      </c>
      <c r="D17" s="112">
        <v>0.9</v>
      </c>
      <c r="E17" s="132">
        <f>348/348</f>
        <v>1</v>
      </c>
      <c r="F17" s="132">
        <f>329/329</f>
        <v>1</v>
      </c>
      <c r="G17" s="132">
        <f>364/364</f>
        <v>1</v>
      </c>
      <c r="H17" s="132">
        <f>318/318</f>
        <v>1</v>
      </c>
      <c r="I17" s="132">
        <f>415/415</f>
        <v>1</v>
      </c>
      <c r="J17" s="132">
        <f>396/396</f>
        <v>1</v>
      </c>
      <c r="K17" s="132">
        <f>325/325</f>
        <v>1</v>
      </c>
      <c r="L17" s="132">
        <f>228/228</f>
        <v>1</v>
      </c>
      <c r="M17" s="132">
        <f>347/347</f>
        <v>1</v>
      </c>
      <c r="N17" s="132">
        <f>308/308</f>
        <v>1</v>
      </c>
      <c r="O17" s="132">
        <f>349/349</f>
        <v>1</v>
      </c>
      <c r="P17" s="132">
        <f>315/315</f>
        <v>1</v>
      </c>
      <c r="Q17" s="71">
        <f t="shared" si="0"/>
        <v>1</v>
      </c>
      <c r="R17" s="20" t="s">
        <v>27</v>
      </c>
      <c r="S17" s="21"/>
      <c r="T17" s="18"/>
      <c r="U17" s="19">
        <v>1</v>
      </c>
      <c r="V17" s="77">
        <v>1</v>
      </c>
    </row>
    <row r="18" spans="1:24" ht="21.75" customHeight="1" thickBot="1" x14ac:dyDescent="0.25">
      <c r="A18" s="398"/>
      <c r="B18" s="322" t="s">
        <v>47</v>
      </c>
      <c r="C18" s="322"/>
      <c r="D18" s="322"/>
      <c r="E18" s="323">
        <f>AVERAGE(E17:J17)</f>
        <v>1</v>
      </c>
      <c r="F18" s="323"/>
      <c r="G18" s="323"/>
      <c r="H18" s="323"/>
      <c r="I18" s="323"/>
      <c r="J18" s="323"/>
      <c r="K18" s="323">
        <f>AVERAGE(K17:P17)</f>
        <v>1</v>
      </c>
      <c r="L18" s="323"/>
      <c r="M18" s="323"/>
      <c r="N18" s="323"/>
      <c r="O18" s="323"/>
      <c r="P18" s="323"/>
      <c r="Q18" s="217"/>
      <c r="R18" s="130"/>
      <c r="S18" s="7"/>
      <c r="T18" s="78"/>
      <c r="U18" s="79"/>
      <c r="V18" s="80"/>
    </row>
    <row r="19" spans="1:24" ht="53.25" hidden="1" customHeight="1" x14ac:dyDescent="0.2">
      <c r="A19" s="280" t="s">
        <v>35</v>
      </c>
      <c r="B19" s="208" t="s">
        <v>36</v>
      </c>
      <c r="C19" s="229" t="s">
        <v>71</v>
      </c>
      <c r="D19" s="209" t="s">
        <v>37</v>
      </c>
      <c r="E19" s="331"/>
      <c r="F19" s="331"/>
      <c r="G19" s="331"/>
      <c r="H19" s="331"/>
      <c r="I19" s="331"/>
      <c r="J19" s="331"/>
      <c r="K19" s="331"/>
      <c r="L19" s="331"/>
      <c r="M19" s="331"/>
      <c r="N19" s="331"/>
      <c r="O19" s="331"/>
      <c r="P19" s="331"/>
      <c r="Q19" s="210" t="e">
        <f>AVERAGE(E19:P19)</f>
        <v>#DIV/0!</v>
      </c>
      <c r="R19" s="128" t="s">
        <v>27</v>
      </c>
      <c r="S19" s="5"/>
      <c r="T19" s="211"/>
      <c r="U19" s="75">
        <v>1</v>
      </c>
      <c r="V19" s="76"/>
    </row>
    <row r="20" spans="1:24" ht="87" customHeight="1" x14ac:dyDescent="0.2">
      <c r="A20" s="281"/>
      <c r="B20" s="48" t="s">
        <v>282</v>
      </c>
      <c r="C20" s="89" t="s">
        <v>289</v>
      </c>
      <c r="D20" s="102" t="s">
        <v>132</v>
      </c>
      <c r="E20" s="305">
        <v>2.5700000000000001E-2</v>
      </c>
      <c r="F20" s="305"/>
      <c r="G20" s="305"/>
      <c r="H20" s="305"/>
      <c r="I20" s="305"/>
      <c r="J20" s="305"/>
      <c r="K20" s="305"/>
      <c r="L20" s="305"/>
      <c r="M20" s="305"/>
      <c r="N20" s="305"/>
      <c r="O20" s="305"/>
      <c r="P20" s="305"/>
      <c r="Q20" s="71">
        <f t="shared" ref="Q20:Q68" si="1">IF(AND((E20=0),(K20=0)),"ND",AVERAGE(E20:P20))</f>
        <v>2.5700000000000001E-2</v>
      </c>
      <c r="R20" s="129" t="str">
        <f t="shared" ref="R20:S20" si="2">IF(AND((F20=0),(L20=0)),"ND",AVERAGE(F20:Q20))</f>
        <v>ND</v>
      </c>
      <c r="S20" s="2" t="str">
        <f t="shared" si="2"/>
        <v>ND</v>
      </c>
      <c r="T20" s="42"/>
      <c r="U20" s="19">
        <v>1</v>
      </c>
      <c r="V20" s="77">
        <v>1</v>
      </c>
    </row>
    <row r="21" spans="1:24" ht="57" customHeight="1" x14ac:dyDescent="0.2">
      <c r="A21" s="281"/>
      <c r="B21" s="87" t="s">
        <v>286</v>
      </c>
      <c r="C21" s="89" t="s">
        <v>128</v>
      </c>
      <c r="D21" s="103">
        <v>10</v>
      </c>
      <c r="E21" s="305">
        <v>0.1205</v>
      </c>
      <c r="F21" s="305"/>
      <c r="G21" s="305"/>
      <c r="H21" s="305"/>
      <c r="I21" s="305"/>
      <c r="J21" s="305"/>
      <c r="K21" s="305"/>
      <c r="L21" s="305"/>
      <c r="M21" s="305"/>
      <c r="N21" s="305"/>
      <c r="O21" s="305"/>
      <c r="P21" s="305"/>
      <c r="Q21" s="71">
        <f t="shared" si="1"/>
        <v>0.1205</v>
      </c>
      <c r="R21" s="129" t="str">
        <f t="shared" ref="R21:S21" si="3">IF(AND((F21=0),(L21=0)),"ND",AVERAGE(F21:Q21))</f>
        <v>ND</v>
      </c>
      <c r="S21" s="2" t="str">
        <f t="shared" si="3"/>
        <v>ND</v>
      </c>
      <c r="T21" s="42"/>
      <c r="U21" s="19">
        <v>1</v>
      </c>
      <c r="V21" s="77">
        <v>1</v>
      </c>
    </row>
    <row r="22" spans="1:24" ht="41.25" customHeight="1" x14ac:dyDescent="0.2">
      <c r="A22" s="281"/>
      <c r="B22" s="324" t="s">
        <v>287</v>
      </c>
      <c r="C22" s="241" t="s">
        <v>102</v>
      </c>
      <c r="D22" s="56">
        <v>0.01</v>
      </c>
      <c r="E22" s="305">
        <f>27/39233</f>
        <v>6.8819616139474422E-4</v>
      </c>
      <c r="F22" s="305"/>
      <c r="G22" s="305"/>
      <c r="H22" s="305"/>
      <c r="I22" s="305"/>
      <c r="J22" s="305"/>
      <c r="K22" s="305"/>
      <c r="L22" s="305"/>
      <c r="M22" s="305"/>
      <c r="N22" s="305"/>
      <c r="O22" s="305"/>
      <c r="P22" s="305"/>
      <c r="Q22" s="71">
        <f t="shared" si="1"/>
        <v>6.8819616139474422E-4</v>
      </c>
      <c r="R22" s="129" t="str">
        <f t="shared" ref="R22:S22" si="4">IF(AND((F22=0),(L22=0)),"ND",AVERAGE(F22:Q22))</f>
        <v>ND</v>
      </c>
      <c r="S22" s="2" t="str">
        <f t="shared" si="4"/>
        <v>ND</v>
      </c>
      <c r="T22" s="42"/>
      <c r="U22" s="19">
        <v>1</v>
      </c>
      <c r="V22" s="77">
        <v>1</v>
      </c>
    </row>
    <row r="23" spans="1:24" ht="28.5" hidden="1" customHeight="1" x14ac:dyDescent="0.2">
      <c r="A23" s="281"/>
      <c r="B23" s="324"/>
      <c r="C23" s="241"/>
      <c r="D23" s="57" t="s">
        <v>38</v>
      </c>
      <c r="E23" s="332"/>
      <c r="F23" s="332"/>
      <c r="G23" s="332"/>
      <c r="H23" s="332"/>
      <c r="I23" s="332"/>
      <c r="J23" s="332"/>
      <c r="K23" s="332"/>
      <c r="L23" s="332"/>
      <c r="M23" s="332"/>
      <c r="N23" s="332"/>
      <c r="O23" s="332"/>
      <c r="P23" s="332"/>
      <c r="Q23" s="71" t="str">
        <f t="shared" si="1"/>
        <v>ND</v>
      </c>
      <c r="R23" s="129" t="str">
        <f t="shared" ref="R23:S23" si="5">IF(AND((F23=0),(L23=0)),"ND",AVERAGE(F23:Q23))</f>
        <v>ND</v>
      </c>
      <c r="S23" s="2" t="str">
        <f t="shared" si="5"/>
        <v>ND</v>
      </c>
      <c r="T23" s="42"/>
      <c r="U23" s="19"/>
      <c r="V23" s="77"/>
    </row>
    <row r="24" spans="1:24" ht="59.25" customHeight="1" x14ac:dyDescent="0.2">
      <c r="A24" s="281"/>
      <c r="B24" s="83" t="s">
        <v>200</v>
      </c>
      <c r="C24" s="89" t="s">
        <v>72</v>
      </c>
      <c r="D24" s="56">
        <v>0.8</v>
      </c>
      <c r="E24" s="305">
        <f>451/461</f>
        <v>0.97830802603036882</v>
      </c>
      <c r="F24" s="305"/>
      <c r="G24" s="305"/>
      <c r="H24" s="305"/>
      <c r="I24" s="305"/>
      <c r="J24" s="305"/>
      <c r="K24" s="305">
        <f>461/546</f>
        <v>0.84432234432234432</v>
      </c>
      <c r="L24" s="305"/>
      <c r="M24" s="305"/>
      <c r="N24" s="305"/>
      <c r="O24" s="305"/>
      <c r="P24" s="305"/>
      <c r="Q24" s="71">
        <f t="shared" si="1"/>
        <v>0.91131518517635657</v>
      </c>
      <c r="R24" s="129" t="str">
        <f t="shared" ref="R24:S24" si="6">IF(AND((F24=0),(L24=0)),"ND",AVERAGE(F24:Q24))</f>
        <v>ND</v>
      </c>
      <c r="S24" s="2" t="str">
        <f t="shared" si="6"/>
        <v>ND</v>
      </c>
      <c r="T24" s="42"/>
      <c r="U24" s="19">
        <v>1</v>
      </c>
      <c r="V24" s="77">
        <v>1</v>
      </c>
      <c r="X24" s="1">
        <f>8000+225+124</f>
        <v>8349</v>
      </c>
    </row>
    <row r="25" spans="1:24" ht="37.5" hidden="1" customHeight="1" thickBot="1" x14ac:dyDescent="0.25">
      <c r="A25" s="281"/>
      <c r="B25" s="226" t="s">
        <v>97</v>
      </c>
      <c r="C25" s="89" t="s">
        <v>73</v>
      </c>
      <c r="D25" s="101">
        <v>1</v>
      </c>
      <c r="E25" s="328"/>
      <c r="F25" s="328"/>
      <c r="G25" s="328"/>
      <c r="H25" s="328"/>
      <c r="I25" s="328"/>
      <c r="J25" s="328"/>
      <c r="K25" s="328"/>
      <c r="L25" s="328"/>
      <c r="M25" s="328"/>
      <c r="N25" s="328"/>
      <c r="O25" s="328"/>
      <c r="P25" s="328"/>
      <c r="Q25" s="71" t="str">
        <f t="shared" si="1"/>
        <v>ND</v>
      </c>
      <c r="R25" s="130" t="s">
        <v>26</v>
      </c>
      <c r="S25" s="81" t="s">
        <v>39</v>
      </c>
      <c r="T25" s="42"/>
      <c r="U25" s="19">
        <v>1</v>
      </c>
      <c r="V25" s="77"/>
    </row>
    <row r="26" spans="1:24" ht="52.5" customHeight="1" x14ac:dyDescent="0.2">
      <c r="A26" s="281"/>
      <c r="B26" s="83" t="s">
        <v>155</v>
      </c>
      <c r="C26" s="89" t="s">
        <v>158</v>
      </c>
      <c r="D26" s="101" t="s">
        <v>132</v>
      </c>
      <c r="E26" s="285">
        <v>207.07</v>
      </c>
      <c r="F26" s="285"/>
      <c r="G26" s="285"/>
      <c r="H26" s="285"/>
      <c r="I26" s="285"/>
      <c r="J26" s="285"/>
      <c r="K26" s="285"/>
      <c r="L26" s="285"/>
      <c r="M26" s="285"/>
      <c r="N26" s="285"/>
      <c r="O26" s="285"/>
      <c r="P26" s="285"/>
      <c r="Q26" s="71">
        <f>E26</f>
        <v>207.07</v>
      </c>
      <c r="R26" s="40"/>
      <c r="S26" s="41"/>
      <c r="T26" s="42"/>
      <c r="U26" s="19"/>
      <c r="V26" s="77">
        <v>1</v>
      </c>
    </row>
    <row r="27" spans="1:24" ht="52.5" customHeight="1" thickBot="1" x14ac:dyDescent="0.25">
      <c r="A27" s="282"/>
      <c r="B27" s="14" t="s">
        <v>156</v>
      </c>
      <c r="C27" s="90" t="s">
        <v>157</v>
      </c>
      <c r="D27" s="212" t="s">
        <v>132</v>
      </c>
      <c r="E27" s="283" t="s">
        <v>236</v>
      </c>
      <c r="F27" s="283"/>
      <c r="G27" s="283"/>
      <c r="H27" s="283"/>
      <c r="I27" s="283"/>
      <c r="J27" s="283"/>
      <c r="K27" s="284">
        <v>8.9999999999999998E-4</v>
      </c>
      <c r="L27" s="284"/>
      <c r="M27" s="284"/>
      <c r="N27" s="284"/>
      <c r="O27" s="284"/>
      <c r="P27" s="284"/>
      <c r="Q27" s="159">
        <f t="shared" si="1"/>
        <v>8.9999999999999998E-4</v>
      </c>
      <c r="R27" s="213"/>
      <c r="S27" s="214"/>
      <c r="T27" s="215"/>
      <c r="U27" s="79"/>
      <c r="V27" s="80">
        <v>1</v>
      </c>
    </row>
    <row r="28" spans="1:24" ht="101.25" customHeight="1" x14ac:dyDescent="0.2">
      <c r="A28" s="289" t="s">
        <v>40</v>
      </c>
      <c r="B28" s="201" t="s">
        <v>202</v>
      </c>
      <c r="C28" s="93" t="s">
        <v>237</v>
      </c>
      <c r="D28" s="205">
        <v>0.5</v>
      </c>
      <c r="E28" s="325">
        <v>0.60919999999999996</v>
      </c>
      <c r="F28" s="325"/>
      <c r="G28" s="325"/>
      <c r="H28" s="325"/>
      <c r="I28" s="325"/>
      <c r="J28" s="325"/>
      <c r="K28" s="325">
        <v>0.55010000000000003</v>
      </c>
      <c r="L28" s="325"/>
      <c r="M28" s="325"/>
      <c r="N28" s="325"/>
      <c r="O28" s="325"/>
      <c r="P28" s="325"/>
      <c r="Q28" s="72">
        <f t="shared" si="1"/>
        <v>0.57965</v>
      </c>
      <c r="R28" s="128" t="s">
        <v>27</v>
      </c>
      <c r="S28" s="6"/>
      <c r="T28" s="74"/>
      <c r="U28" s="75">
        <v>1</v>
      </c>
      <c r="V28" s="76">
        <v>1</v>
      </c>
    </row>
    <row r="29" spans="1:24" ht="101.25" customHeight="1" x14ac:dyDescent="0.2">
      <c r="A29" s="290"/>
      <c r="B29" s="44" t="s">
        <v>203</v>
      </c>
      <c r="C29" s="89" t="s">
        <v>238</v>
      </c>
      <c r="D29" s="112">
        <v>0.25</v>
      </c>
      <c r="E29" s="286">
        <v>0.3412</v>
      </c>
      <c r="F29" s="286"/>
      <c r="G29" s="286"/>
      <c r="H29" s="286"/>
      <c r="I29" s="286"/>
      <c r="J29" s="286"/>
      <c r="K29" s="286">
        <v>0.50590000000000002</v>
      </c>
      <c r="L29" s="286"/>
      <c r="M29" s="286"/>
      <c r="N29" s="286"/>
      <c r="O29" s="286"/>
      <c r="P29" s="286"/>
      <c r="Q29" s="71">
        <f t="shared" si="1"/>
        <v>0.42354999999999998</v>
      </c>
      <c r="R29" s="68"/>
      <c r="S29" s="177"/>
      <c r="T29" s="18"/>
      <c r="U29" s="19"/>
      <c r="V29" s="77">
        <v>1</v>
      </c>
      <c r="W29" s="62"/>
    </row>
    <row r="30" spans="1:24" ht="93" customHeight="1" x14ac:dyDescent="0.2">
      <c r="A30" s="290"/>
      <c r="B30" s="45" t="s">
        <v>288</v>
      </c>
      <c r="C30" s="89" t="s">
        <v>74</v>
      </c>
      <c r="D30" s="104">
        <v>4.5</v>
      </c>
      <c r="E30" s="326">
        <v>4.6900000000000004</v>
      </c>
      <c r="F30" s="326"/>
      <c r="G30" s="326"/>
      <c r="H30" s="326"/>
      <c r="I30" s="326"/>
      <c r="J30" s="326"/>
      <c r="K30" s="326">
        <v>4.5199999999999996</v>
      </c>
      <c r="L30" s="326"/>
      <c r="M30" s="326"/>
      <c r="N30" s="326"/>
      <c r="O30" s="326"/>
      <c r="P30" s="326"/>
      <c r="Q30" s="71">
        <f t="shared" si="1"/>
        <v>4.6050000000000004</v>
      </c>
      <c r="R30" s="16"/>
      <c r="S30" s="17"/>
      <c r="T30" s="18"/>
      <c r="U30" s="19"/>
      <c r="V30" s="77">
        <v>1</v>
      </c>
    </row>
    <row r="31" spans="1:24" ht="105.75" customHeight="1" x14ac:dyDescent="0.2">
      <c r="A31" s="290"/>
      <c r="B31" s="45" t="s">
        <v>204</v>
      </c>
      <c r="C31" s="89" t="s">
        <v>75</v>
      </c>
      <c r="D31" s="104">
        <v>4.5</v>
      </c>
      <c r="E31" s="327">
        <v>4.8</v>
      </c>
      <c r="F31" s="327"/>
      <c r="G31" s="327"/>
      <c r="H31" s="327"/>
      <c r="I31" s="327"/>
      <c r="J31" s="327"/>
      <c r="K31" s="327">
        <v>4.51</v>
      </c>
      <c r="L31" s="327"/>
      <c r="M31" s="327"/>
      <c r="N31" s="327"/>
      <c r="O31" s="327"/>
      <c r="P31" s="327"/>
      <c r="Q31" s="71">
        <f t="shared" si="1"/>
        <v>4.6549999999999994</v>
      </c>
      <c r="R31" s="16"/>
      <c r="S31" s="17"/>
      <c r="T31" s="18"/>
      <c r="U31" s="19"/>
      <c r="V31" s="77">
        <v>1</v>
      </c>
      <c r="X31" s="63"/>
    </row>
    <row r="32" spans="1:24" ht="126.75" customHeight="1" x14ac:dyDescent="0.2">
      <c r="A32" s="290"/>
      <c r="B32" s="44" t="s">
        <v>205</v>
      </c>
      <c r="C32" s="89" t="s">
        <v>131</v>
      </c>
      <c r="D32" s="49">
        <v>0.08</v>
      </c>
      <c r="E32" s="286">
        <v>0.17519999999999999</v>
      </c>
      <c r="F32" s="286"/>
      <c r="G32" s="286"/>
      <c r="H32" s="286"/>
      <c r="I32" s="286"/>
      <c r="J32" s="286"/>
      <c r="K32" s="286">
        <v>0.2039</v>
      </c>
      <c r="L32" s="286"/>
      <c r="M32" s="286"/>
      <c r="N32" s="286"/>
      <c r="O32" s="286"/>
      <c r="P32" s="286"/>
      <c r="Q32" s="71">
        <f t="shared" si="1"/>
        <v>0.18955</v>
      </c>
      <c r="R32" s="16"/>
      <c r="S32" s="17"/>
      <c r="T32" s="18"/>
      <c r="U32" s="19"/>
      <c r="V32" s="77">
        <v>1</v>
      </c>
      <c r="X32" s="1" t="s">
        <v>274</v>
      </c>
    </row>
    <row r="33" spans="1:24" ht="114.75" customHeight="1" x14ac:dyDescent="0.2">
      <c r="A33" s="290"/>
      <c r="B33" s="44" t="s">
        <v>201</v>
      </c>
      <c r="C33" s="89" t="s">
        <v>130</v>
      </c>
      <c r="D33" s="49">
        <v>0.1</v>
      </c>
      <c r="E33" s="286">
        <v>0.1065</v>
      </c>
      <c r="F33" s="286"/>
      <c r="G33" s="286"/>
      <c r="H33" s="286"/>
      <c r="I33" s="286"/>
      <c r="J33" s="286"/>
      <c r="K33" s="286">
        <v>0.13120000000000001</v>
      </c>
      <c r="L33" s="286"/>
      <c r="M33" s="286"/>
      <c r="N33" s="286"/>
      <c r="O33" s="286"/>
      <c r="P33" s="286"/>
      <c r="Q33" s="71">
        <f t="shared" si="1"/>
        <v>0.11885000000000001</v>
      </c>
      <c r="R33" s="16"/>
      <c r="S33" s="17"/>
      <c r="T33" s="18"/>
      <c r="U33" s="19"/>
      <c r="V33" s="77">
        <v>1</v>
      </c>
      <c r="W33" s="62"/>
    </row>
    <row r="34" spans="1:24" ht="112.5" customHeight="1" x14ac:dyDescent="0.2">
      <c r="A34" s="290"/>
      <c r="B34" s="44" t="s">
        <v>206</v>
      </c>
      <c r="C34" s="89" t="s">
        <v>176</v>
      </c>
      <c r="D34" s="49">
        <v>0.05</v>
      </c>
      <c r="E34" s="286">
        <v>0.26529999999999998</v>
      </c>
      <c r="F34" s="286"/>
      <c r="G34" s="286"/>
      <c r="H34" s="286"/>
      <c r="I34" s="286"/>
      <c r="J34" s="286"/>
      <c r="K34" s="286">
        <v>0.33679999999999999</v>
      </c>
      <c r="L34" s="286"/>
      <c r="M34" s="286"/>
      <c r="N34" s="286"/>
      <c r="O34" s="286"/>
      <c r="P34" s="286"/>
      <c r="Q34" s="71">
        <f t="shared" si="1"/>
        <v>0.30104999999999998</v>
      </c>
      <c r="R34" s="16"/>
      <c r="S34" s="17"/>
      <c r="T34" s="18"/>
      <c r="U34" s="19"/>
      <c r="V34" s="77">
        <v>1</v>
      </c>
    </row>
    <row r="35" spans="1:24" ht="60.75" customHeight="1" x14ac:dyDescent="0.2">
      <c r="A35" s="290"/>
      <c r="B35" s="44" t="s">
        <v>199</v>
      </c>
      <c r="C35" s="89" t="s">
        <v>122</v>
      </c>
      <c r="D35" s="49">
        <v>0.8</v>
      </c>
      <c r="E35" s="242">
        <f>135/146</f>
        <v>0.92465753424657537</v>
      </c>
      <c r="F35" s="242"/>
      <c r="G35" s="242"/>
      <c r="H35" s="242"/>
      <c r="I35" s="242"/>
      <c r="J35" s="242"/>
      <c r="K35" s="242"/>
      <c r="L35" s="242"/>
      <c r="M35" s="242"/>
      <c r="N35" s="242"/>
      <c r="O35" s="242"/>
      <c r="P35" s="242"/>
      <c r="Q35" s="71">
        <f t="shared" si="1"/>
        <v>0.92465753424657537</v>
      </c>
      <c r="R35" s="16"/>
      <c r="S35" s="17"/>
      <c r="T35" s="18"/>
      <c r="U35" s="19"/>
      <c r="V35" s="77">
        <v>1</v>
      </c>
    </row>
    <row r="36" spans="1:24" ht="84" customHeight="1" x14ac:dyDescent="0.2">
      <c r="A36" s="290"/>
      <c r="B36" s="44" t="s">
        <v>207</v>
      </c>
      <c r="C36" s="89" t="s">
        <v>121</v>
      </c>
      <c r="D36" s="49">
        <v>0.02</v>
      </c>
      <c r="E36" s="305">
        <v>0.02</v>
      </c>
      <c r="F36" s="305"/>
      <c r="G36" s="305"/>
      <c r="H36" s="305"/>
      <c r="I36" s="305"/>
      <c r="J36" s="305"/>
      <c r="K36" s="305"/>
      <c r="L36" s="305"/>
      <c r="M36" s="305"/>
      <c r="N36" s="305"/>
      <c r="O36" s="305"/>
      <c r="P36" s="305"/>
      <c r="Q36" s="71">
        <f t="shared" si="1"/>
        <v>0.02</v>
      </c>
      <c r="R36" s="16"/>
      <c r="S36" s="17"/>
      <c r="T36" s="18"/>
      <c r="U36" s="19"/>
      <c r="V36" s="77">
        <v>1</v>
      </c>
    </row>
    <row r="37" spans="1:24" ht="60.75" customHeight="1" x14ac:dyDescent="0.2">
      <c r="A37" s="290"/>
      <c r="B37" s="133" t="s">
        <v>159</v>
      </c>
      <c r="C37" s="89" t="s">
        <v>177</v>
      </c>
      <c r="D37" s="134">
        <v>0.02</v>
      </c>
      <c r="E37" s="286">
        <v>2.2800000000000001E-2</v>
      </c>
      <c r="F37" s="286"/>
      <c r="G37" s="286"/>
      <c r="H37" s="286"/>
      <c r="I37" s="286"/>
      <c r="J37" s="286"/>
      <c r="K37" s="286">
        <v>5.96E-2</v>
      </c>
      <c r="L37" s="286"/>
      <c r="M37" s="286"/>
      <c r="N37" s="286"/>
      <c r="O37" s="286"/>
      <c r="P37" s="286"/>
      <c r="Q37" s="71">
        <f t="shared" si="1"/>
        <v>4.1200000000000001E-2</v>
      </c>
      <c r="R37" s="16"/>
      <c r="S37" s="17"/>
      <c r="T37" s="18"/>
      <c r="U37" s="19"/>
      <c r="V37" s="77">
        <v>1</v>
      </c>
    </row>
    <row r="38" spans="1:24" ht="60.75" customHeight="1" x14ac:dyDescent="0.2">
      <c r="A38" s="290"/>
      <c r="B38" s="135" t="s">
        <v>160</v>
      </c>
      <c r="C38" s="89" t="s">
        <v>161</v>
      </c>
      <c r="D38" s="134">
        <v>0.02</v>
      </c>
      <c r="E38" s="288">
        <f>167/23256</f>
        <v>7.1809425524595807E-3</v>
      </c>
      <c r="F38" s="288"/>
      <c r="G38" s="288"/>
      <c r="H38" s="288"/>
      <c r="I38" s="288"/>
      <c r="J38" s="288"/>
      <c r="K38" s="288">
        <f>432/24184</f>
        <v>1.7863049950380416E-2</v>
      </c>
      <c r="L38" s="288"/>
      <c r="M38" s="288"/>
      <c r="N38" s="288"/>
      <c r="O38" s="288"/>
      <c r="P38" s="288"/>
      <c r="Q38" s="71">
        <f t="shared" si="1"/>
        <v>1.2521996251419998E-2</v>
      </c>
      <c r="R38" s="16"/>
      <c r="S38" s="17"/>
      <c r="T38" s="18"/>
      <c r="U38" s="19"/>
      <c r="V38" s="77">
        <v>1</v>
      </c>
    </row>
    <row r="39" spans="1:24" ht="60.75" customHeight="1" x14ac:dyDescent="0.2">
      <c r="A39" s="290"/>
      <c r="B39" s="135" t="s">
        <v>162</v>
      </c>
      <c r="C39" s="89" t="s">
        <v>163</v>
      </c>
      <c r="D39" s="134">
        <v>0.1</v>
      </c>
      <c r="E39" s="288">
        <f>0/68</f>
        <v>0</v>
      </c>
      <c r="F39" s="288"/>
      <c r="G39" s="288"/>
      <c r="H39" s="288"/>
      <c r="I39" s="288"/>
      <c r="J39" s="288"/>
      <c r="K39" s="288">
        <f>5/193</f>
        <v>2.5906735751295335E-2</v>
      </c>
      <c r="L39" s="288"/>
      <c r="M39" s="288"/>
      <c r="N39" s="288"/>
      <c r="O39" s="288"/>
      <c r="P39" s="288"/>
      <c r="Q39" s="71">
        <f t="shared" si="1"/>
        <v>1.2953367875647668E-2</v>
      </c>
      <c r="R39" s="16"/>
      <c r="S39" s="17"/>
      <c r="T39" s="18"/>
      <c r="U39" s="19"/>
      <c r="V39" s="77">
        <v>1</v>
      </c>
    </row>
    <row r="40" spans="1:24" ht="60.75" customHeight="1" x14ac:dyDescent="0.2">
      <c r="A40" s="290"/>
      <c r="B40" s="135" t="s">
        <v>164</v>
      </c>
      <c r="C40" s="89" t="s">
        <v>165</v>
      </c>
      <c r="D40" s="134" t="s">
        <v>132</v>
      </c>
      <c r="E40" s="313">
        <f>10746/23256</f>
        <v>0.46207430340557276</v>
      </c>
      <c r="F40" s="313"/>
      <c r="G40" s="313"/>
      <c r="H40" s="313"/>
      <c r="I40" s="313"/>
      <c r="J40" s="313"/>
      <c r="K40" s="286">
        <f>11299/24184</f>
        <v>0.4672097254383063</v>
      </c>
      <c r="L40" s="286"/>
      <c r="M40" s="286"/>
      <c r="N40" s="286"/>
      <c r="O40" s="286"/>
      <c r="P40" s="286"/>
      <c r="Q40" s="71">
        <f t="shared" si="1"/>
        <v>0.46464201442193953</v>
      </c>
      <c r="R40" s="16"/>
      <c r="S40" s="17"/>
      <c r="T40" s="18"/>
      <c r="U40" s="19"/>
      <c r="V40" s="77">
        <v>1</v>
      </c>
      <c r="X40" s="54" t="s">
        <v>147</v>
      </c>
    </row>
    <row r="41" spans="1:24" ht="60.75" customHeight="1" thickBot="1" x14ac:dyDescent="0.25">
      <c r="A41" s="291"/>
      <c r="B41" s="206" t="s">
        <v>208</v>
      </c>
      <c r="C41" s="90" t="s">
        <v>209</v>
      </c>
      <c r="D41" s="207">
        <v>0.02</v>
      </c>
      <c r="E41" s="287">
        <f>70/23252</f>
        <v>3.0104937209702392E-3</v>
      </c>
      <c r="F41" s="287"/>
      <c r="G41" s="287"/>
      <c r="H41" s="287"/>
      <c r="I41" s="287"/>
      <c r="J41" s="287"/>
      <c r="K41" s="333">
        <f>218/24184</f>
        <v>9.0142242805160439E-3</v>
      </c>
      <c r="L41" s="333"/>
      <c r="M41" s="333"/>
      <c r="N41" s="333"/>
      <c r="O41" s="333"/>
      <c r="P41" s="333"/>
      <c r="Q41" s="159">
        <f t="shared" si="1"/>
        <v>6.0123590007431418E-3</v>
      </c>
      <c r="R41" s="130"/>
      <c r="S41" s="7"/>
      <c r="T41" s="78"/>
      <c r="U41" s="79"/>
      <c r="V41" s="80">
        <v>1</v>
      </c>
    </row>
    <row r="42" spans="1:24" ht="89.25" customHeight="1" x14ac:dyDescent="0.2">
      <c r="A42" s="411" t="s">
        <v>41</v>
      </c>
      <c r="B42" s="201" t="s">
        <v>251</v>
      </c>
      <c r="C42" s="93" t="s">
        <v>123</v>
      </c>
      <c r="D42" s="202">
        <v>0.8</v>
      </c>
      <c r="E42" s="331">
        <f>16/17</f>
        <v>0.94117647058823528</v>
      </c>
      <c r="F42" s="331"/>
      <c r="G42" s="331"/>
      <c r="H42" s="331"/>
      <c r="I42" s="331"/>
      <c r="J42" s="331"/>
      <c r="K42" s="331"/>
      <c r="L42" s="331"/>
      <c r="M42" s="331"/>
      <c r="N42" s="331"/>
      <c r="O42" s="331"/>
      <c r="P42" s="331"/>
      <c r="Q42" s="72">
        <f t="shared" si="1"/>
        <v>0.94117647058823528</v>
      </c>
      <c r="R42" s="128"/>
      <c r="S42" s="6"/>
      <c r="T42" s="74"/>
      <c r="U42" s="75"/>
      <c r="V42" s="76">
        <v>1</v>
      </c>
    </row>
    <row r="43" spans="1:24" ht="47.25" hidden="1" customHeight="1" x14ac:dyDescent="0.2">
      <c r="A43" s="412"/>
      <c r="B43" s="44" t="s">
        <v>47</v>
      </c>
      <c r="C43" s="44"/>
      <c r="D43" s="136"/>
      <c r="E43" s="305"/>
      <c r="F43" s="305"/>
      <c r="G43" s="305"/>
      <c r="H43" s="305"/>
      <c r="I43" s="305"/>
      <c r="J43" s="305"/>
      <c r="K43" s="305"/>
      <c r="L43" s="305"/>
      <c r="M43" s="305"/>
      <c r="N43" s="305"/>
      <c r="O43" s="305"/>
      <c r="P43" s="305"/>
      <c r="Q43" s="137"/>
      <c r="R43" s="16"/>
      <c r="S43" s="17"/>
      <c r="T43" s="18"/>
      <c r="U43" s="19"/>
      <c r="V43" s="77"/>
    </row>
    <row r="44" spans="1:24" ht="86.25" customHeight="1" x14ac:dyDescent="0.2">
      <c r="A44" s="412"/>
      <c r="B44" s="97" t="s">
        <v>252</v>
      </c>
      <c r="C44" s="89" t="s">
        <v>76</v>
      </c>
      <c r="D44" s="138" t="s">
        <v>117</v>
      </c>
      <c r="E44" s="242">
        <f>3/60</f>
        <v>0.05</v>
      </c>
      <c r="F44" s="242"/>
      <c r="G44" s="242"/>
      <c r="H44" s="242"/>
      <c r="I44" s="242"/>
      <c r="J44" s="242"/>
      <c r="K44" s="242">
        <f>3/51</f>
        <v>5.8823529411764705E-2</v>
      </c>
      <c r="L44" s="242"/>
      <c r="M44" s="242"/>
      <c r="N44" s="242"/>
      <c r="O44" s="242"/>
      <c r="P44" s="242"/>
      <c r="Q44" s="71">
        <f t="shared" si="1"/>
        <v>5.4411764705882354E-2</v>
      </c>
      <c r="R44" s="16" t="s">
        <v>26</v>
      </c>
      <c r="S44" s="17" t="s">
        <v>42</v>
      </c>
      <c r="T44" s="18"/>
      <c r="U44" s="19">
        <v>1</v>
      </c>
      <c r="V44" s="77">
        <v>1</v>
      </c>
    </row>
    <row r="45" spans="1:24" ht="99.75" customHeight="1" x14ac:dyDescent="0.2">
      <c r="A45" s="412"/>
      <c r="B45" s="97" t="s">
        <v>253</v>
      </c>
      <c r="C45" s="89" t="s">
        <v>77</v>
      </c>
      <c r="D45" s="138" t="s">
        <v>118</v>
      </c>
      <c r="E45" s="242">
        <f>56/60</f>
        <v>0.93333333333333335</v>
      </c>
      <c r="F45" s="242"/>
      <c r="G45" s="242"/>
      <c r="H45" s="242"/>
      <c r="I45" s="242"/>
      <c r="J45" s="242"/>
      <c r="K45" s="242">
        <f>51/51</f>
        <v>1</v>
      </c>
      <c r="L45" s="242"/>
      <c r="M45" s="242"/>
      <c r="N45" s="242"/>
      <c r="O45" s="242"/>
      <c r="P45" s="242"/>
      <c r="Q45" s="71">
        <f t="shared" si="1"/>
        <v>0.96666666666666667</v>
      </c>
      <c r="R45" s="16"/>
      <c r="S45" s="17" t="s">
        <v>42</v>
      </c>
      <c r="T45" s="18"/>
      <c r="U45" s="19">
        <v>1</v>
      </c>
      <c r="V45" s="77">
        <v>1</v>
      </c>
    </row>
    <row r="46" spans="1:24" ht="102" customHeight="1" x14ac:dyDescent="0.2">
      <c r="A46" s="412"/>
      <c r="B46" s="97" t="s">
        <v>254</v>
      </c>
      <c r="C46" s="89" t="s">
        <v>78</v>
      </c>
      <c r="D46" s="138" t="s">
        <v>119</v>
      </c>
      <c r="E46" s="242">
        <f>51/60</f>
        <v>0.85</v>
      </c>
      <c r="F46" s="242"/>
      <c r="G46" s="242"/>
      <c r="H46" s="242"/>
      <c r="I46" s="242"/>
      <c r="J46" s="242"/>
      <c r="K46" s="242">
        <f>43/51</f>
        <v>0.84313725490196079</v>
      </c>
      <c r="L46" s="242"/>
      <c r="M46" s="242"/>
      <c r="N46" s="242"/>
      <c r="O46" s="242"/>
      <c r="P46" s="242"/>
      <c r="Q46" s="71">
        <f t="shared" si="1"/>
        <v>0.84656862745098038</v>
      </c>
      <c r="R46" s="16"/>
      <c r="S46" s="17"/>
      <c r="T46" s="18"/>
      <c r="U46" s="19"/>
      <c r="V46" s="77">
        <v>1</v>
      </c>
    </row>
    <row r="47" spans="1:24" ht="21" hidden="1" customHeight="1" x14ac:dyDescent="0.2">
      <c r="A47" s="412"/>
      <c r="B47" s="55" t="s">
        <v>98</v>
      </c>
      <c r="C47" s="89" t="s">
        <v>99</v>
      </c>
      <c r="D47" s="139">
        <v>1</v>
      </c>
      <c r="E47" s="140"/>
      <c r="F47" s="140"/>
      <c r="G47" s="140"/>
      <c r="H47" s="140"/>
      <c r="I47" s="140"/>
      <c r="J47" s="140"/>
      <c r="K47" s="141"/>
      <c r="L47" s="141"/>
      <c r="M47" s="141"/>
      <c r="N47" s="141"/>
      <c r="O47" s="141"/>
      <c r="P47" s="141"/>
      <c r="Q47" s="71" t="str">
        <f t="shared" si="1"/>
        <v>ND</v>
      </c>
      <c r="R47" s="16"/>
      <c r="S47" s="17"/>
      <c r="T47" s="18"/>
      <c r="U47" s="19"/>
      <c r="V47" s="77"/>
    </row>
    <row r="48" spans="1:24" ht="51.75" customHeight="1" x14ac:dyDescent="0.2">
      <c r="A48" s="412"/>
      <c r="B48" s="48" t="s">
        <v>255</v>
      </c>
      <c r="C48" s="89" t="s">
        <v>127</v>
      </c>
      <c r="D48" s="113">
        <v>0.8</v>
      </c>
      <c r="E48" s="242">
        <f>40/40</f>
        <v>1</v>
      </c>
      <c r="F48" s="242"/>
      <c r="G48" s="242"/>
      <c r="H48" s="242"/>
      <c r="I48" s="242"/>
      <c r="J48" s="242"/>
      <c r="K48" s="242"/>
      <c r="L48" s="242"/>
      <c r="M48" s="242"/>
      <c r="N48" s="242"/>
      <c r="O48" s="242"/>
      <c r="P48" s="242"/>
      <c r="Q48" s="71">
        <f t="shared" si="1"/>
        <v>1</v>
      </c>
      <c r="R48" s="16"/>
      <c r="S48" s="17"/>
      <c r="T48" s="18"/>
      <c r="U48" s="19">
        <v>1</v>
      </c>
      <c r="V48" s="77">
        <v>1</v>
      </c>
    </row>
    <row r="49" spans="1:23" ht="80.25" customHeight="1" x14ac:dyDescent="0.2">
      <c r="A49" s="412"/>
      <c r="B49" s="48" t="s">
        <v>256</v>
      </c>
      <c r="C49" s="89" t="s">
        <v>133</v>
      </c>
      <c r="D49" s="113">
        <v>0.8</v>
      </c>
      <c r="E49" s="242">
        <f>149/153</f>
        <v>0.97385620915032678</v>
      </c>
      <c r="F49" s="242"/>
      <c r="G49" s="242"/>
      <c r="H49" s="242"/>
      <c r="I49" s="242"/>
      <c r="J49" s="242"/>
      <c r="K49" s="242"/>
      <c r="L49" s="242"/>
      <c r="M49" s="242"/>
      <c r="N49" s="242"/>
      <c r="O49" s="242"/>
      <c r="P49" s="242"/>
      <c r="Q49" s="71">
        <f t="shared" si="1"/>
        <v>0.97385620915032678</v>
      </c>
      <c r="R49" s="16" t="s">
        <v>26</v>
      </c>
      <c r="S49" s="17" t="s">
        <v>43</v>
      </c>
      <c r="T49" s="18"/>
      <c r="U49" s="19">
        <v>1</v>
      </c>
      <c r="V49" s="77">
        <v>1</v>
      </c>
    </row>
    <row r="50" spans="1:23" ht="72" customHeight="1" x14ac:dyDescent="0.2">
      <c r="A50" s="412"/>
      <c r="B50" s="48" t="s">
        <v>257</v>
      </c>
      <c r="C50" s="89" t="s">
        <v>134</v>
      </c>
      <c r="D50" s="113">
        <v>0.8</v>
      </c>
      <c r="E50" s="242">
        <f>19/21</f>
        <v>0.90476190476190477</v>
      </c>
      <c r="F50" s="242"/>
      <c r="G50" s="242"/>
      <c r="H50" s="242"/>
      <c r="I50" s="242"/>
      <c r="J50" s="242"/>
      <c r="K50" s="242"/>
      <c r="L50" s="242"/>
      <c r="M50" s="242"/>
      <c r="N50" s="242"/>
      <c r="O50" s="242"/>
      <c r="P50" s="242"/>
      <c r="Q50" s="71">
        <f t="shared" si="1"/>
        <v>0.90476190476190477</v>
      </c>
      <c r="R50" s="16" t="s">
        <v>26</v>
      </c>
      <c r="S50" s="17" t="s">
        <v>44</v>
      </c>
      <c r="T50" s="18"/>
      <c r="U50" s="19">
        <v>1</v>
      </c>
      <c r="V50" s="77">
        <v>1</v>
      </c>
    </row>
    <row r="51" spans="1:23" ht="203.25" customHeight="1" x14ac:dyDescent="0.2">
      <c r="A51" s="413"/>
      <c r="B51" s="232" t="s">
        <v>290</v>
      </c>
      <c r="C51" s="232" t="s">
        <v>291</v>
      </c>
      <c r="D51" s="233">
        <v>0.98</v>
      </c>
      <c r="E51" s="242">
        <v>2.8628999999999998</v>
      </c>
      <c r="F51" s="242"/>
      <c r="G51" s="242"/>
      <c r="H51" s="242"/>
      <c r="I51" s="242"/>
      <c r="J51" s="242"/>
      <c r="K51" s="242"/>
      <c r="L51" s="242"/>
      <c r="M51" s="242"/>
      <c r="N51" s="242"/>
      <c r="O51" s="242"/>
      <c r="P51" s="242"/>
      <c r="Q51" s="2">
        <f t="shared" si="1"/>
        <v>2.8628999999999998</v>
      </c>
      <c r="R51" s="16" t="s">
        <v>26</v>
      </c>
      <c r="S51" s="17" t="s">
        <v>44</v>
      </c>
      <c r="T51" s="18"/>
      <c r="U51" s="19">
        <v>1</v>
      </c>
      <c r="V51" s="19">
        <v>1</v>
      </c>
      <c r="W51" s="86"/>
    </row>
    <row r="52" spans="1:23" ht="167.25" customHeight="1" x14ac:dyDescent="0.2">
      <c r="A52" s="413"/>
      <c r="B52" s="232" t="s">
        <v>292</v>
      </c>
      <c r="C52" s="232" t="s">
        <v>293</v>
      </c>
      <c r="D52" s="233">
        <v>1</v>
      </c>
      <c r="E52" s="242">
        <v>0.9</v>
      </c>
      <c r="F52" s="242"/>
      <c r="G52" s="242"/>
      <c r="H52" s="242"/>
      <c r="I52" s="242"/>
      <c r="J52" s="242"/>
      <c r="K52" s="242"/>
      <c r="L52" s="242"/>
      <c r="M52" s="242"/>
      <c r="N52" s="242"/>
      <c r="O52" s="242"/>
      <c r="P52" s="242"/>
      <c r="Q52" s="2">
        <f t="shared" si="1"/>
        <v>0.9</v>
      </c>
      <c r="R52" s="16" t="s">
        <v>26</v>
      </c>
      <c r="S52" s="17" t="s">
        <v>44</v>
      </c>
      <c r="T52" s="18"/>
      <c r="U52" s="19">
        <v>1</v>
      </c>
      <c r="V52" s="19">
        <v>1</v>
      </c>
      <c r="W52" s="86"/>
    </row>
    <row r="53" spans="1:23" ht="159.75" customHeight="1" x14ac:dyDescent="0.2">
      <c r="A53" s="413"/>
      <c r="B53" s="232" t="s">
        <v>294</v>
      </c>
      <c r="C53" s="232" t="s">
        <v>295</v>
      </c>
      <c r="D53" s="233">
        <v>0.98</v>
      </c>
      <c r="E53" s="242">
        <v>0.94120000000000004</v>
      </c>
      <c r="F53" s="242"/>
      <c r="G53" s="242"/>
      <c r="H53" s="242"/>
      <c r="I53" s="242"/>
      <c r="J53" s="242"/>
      <c r="K53" s="242"/>
      <c r="L53" s="242"/>
      <c r="M53" s="242"/>
      <c r="N53" s="242"/>
      <c r="O53" s="242"/>
      <c r="P53" s="242"/>
      <c r="Q53" s="2">
        <f t="shared" si="1"/>
        <v>0.94120000000000004</v>
      </c>
      <c r="R53" s="16" t="s">
        <v>26</v>
      </c>
      <c r="S53" s="17" t="s">
        <v>44</v>
      </c>
      <c r="T53" s="18"/>
      <c r="U53" s="19">
        <v>1</v>
      </c>
      <c r="V53" s="19">
        <v>1</v>
      </c>
      <c r="W53" s="86"/>
    </row>
    <row r="54" spans="1:23" ht="72" customHeight="1" thickBot="1" x14ac:dyDescent="0.25">
      <c r="A54" s="414"/>
      <c r="B54" s="203" t="s">
        <v>216</v>
      </c>
      <c r="C54" s="90" t="s">
        <v>217</v>
      </c>
      <c r="D54" s="204">
        <v>1</v>
      </c>
      <c r="E54" s="389">
        <f>15/17</f>
        <v>0.88235294117647056</v>
      </c>
      <c r="F54" s="389"/>
      <c r="G54" s="389"/>
      <c r="H54" s="389">
        <f>37/41</f>
        <v>0.90243902439024393</v>
      </c>
      <c r="I54" s="389"/>
      <c r="J54" s="389"/>
      <c r="K54" s="389">
        <f>32/54</f>
        <v>0.59259259259259256</v>
      </c>
      <c r="L54" s="389"/>
      <c r="M54" s="389"/>
      <c r="N54" s="389">
        <f>18/22</f>
        <v>0.81818181818181823</v>
      </c>
      <c r="O54" s="389"/>
      <c r="P54" s="389"/>
      <c r="Q54" s="159">
        <f t="shared" si="1"/>
        <v>0.79889159408528132</v>
      </c>
      <c r="R54" s="130"/>
      <c r="S54" s="7"/>
      <c r="T54" s="78"/>
      <c r="U54" s="79"/>
      <c r="V54" s="80">
        <v>1</v>
      </c>
    </row>
    <row r="55" spans="1:23" ht="18.75" customHeight="1" thickBot="1" x14ac:dyDescent="0.25">
      <c r="A55" s="196"/>
      <c r="B55" s="114" t="s">
        <v>47</v>
      </c>
      <c r="C55" s="95"/>
      <c r="D55" s="197"/>
      <c r="E55" s="330">
        <f>AVERAGE(E54:J54)</f>
        <v>0.89239598278335719</v>
      </c>
      <c r="F55" s="330"/>
      <c r="G55" s="330"/>
      <c r="H55" s="330"/>
      <c r="I55" s="330"/>
      <c r="J55" s="330"/>
      <c r="K55" s="330">
        <f>AVERAGE(K54:P54)</f>
        <v>0.70538720538720545</v>
      </c>
      <c r="L55" s="330"/>
      <c r="M55" s="330"/>
      <c r="N55" s="330"/>
      <c r="O55" s="330"/>
      <c r="P55" s="330"/>
      <c r="Q55" s="198"/>
      <c r="R55" s="40"/>
      <c r="S55" s="198"/>
      <c r="T55" s="199"/>
      <c r="U55" s="200"/>
      <c r="V55" s="200"/>
    </row>
    <row r="56" spans="1:23" ht="66.75" customHeight="1" x14ac:dyDescent="0.2">
      <c r="A56" s="407" t="s">
        <v>45</v>
      </c>
      <c r="B56" s="15" t="s">
        <v>218</v>
      </c>
      <c r="C56" s="192" t="s">
        <v>79</v>
      </c>
      <c r="D56" s="193">
        <v>1</v>
      </c>
      <c r="E56" s="194">
        <f>74/74</f>
        <v>1</v>
      </c>
      <c r="F56" s="194">
        <f>211/211</f>
        <v>1</v>
      </c>
      <c r="G56" s="194">
        <f>222/222</f>
        <v>1</v>
      </c>
      <c r="H56" s="194">
        <f>204/204</f>
        <v>1</v>
      </c>
      <c r="I56" s="194">
        <f>325/325</f>
        <v>1</v>
      </c>
      <c r="J56" s="194">
        <f>309/309</f>
        <v>1</v>
      </c>
      <c r="K56" s="194">
        <f>248/248</f>
        <v>1</v>
      </c>
      <c r="L56" s="194">
        <f>301/301</f>
        <v>1</v>
      </c>
      <c r="M56" s="194">
        <f>322/322</f>
        <v>1</v>
      </c>
      <c r="N56" s="195">
        <f>317/317</f>
        <v>1</v>
      </c>
      <c r="O56" s="194">
        <f>362/362</f>
        <v>1</v>
      </c>
      <c r="P56" s="194">
        <f>293/293</f>
        <v>1</v>
      </c>
      <c r="Q56" s="72">
        <f t="shared" si="1"/>
        <v>1</v>
      </c>
      <c r="R56" s="128" t="s">
        <v>27</v>
      </c>
      <c r="S56" s="6" t="s">
        <v>46</v>
      </c>
      <c r="T56" s="74"/>
      <c r="U56" s="75">
        <v>1</v>
      </c>
      <c r="V56" s="76">
        <v>1</v>
      </c>
    </row>
    <row r="57" spans="1:23" ht="18.75" customHeight="1" x14ac:dyDescent="0.2">
      <c r="A57" s="408"/>
      <c r="B57" s="115" t="s">
        <v>47</v>
      </c>
      <c r="C57" s="89"/>
      <c r="D57" s="144"/>
      <c r="E57" s="387">
        <f>AVERAGE(E56:J56)</f>
        <v>1</v>
      </c>
      <c r="F57" s="387"/>
      <c r="G57" s="387"/>
      <c r="H57" s="387"/>
      <c r="I57" s="387"/>
      <c r="J57" s="387"/>
      <c r="K57" s="387">
        <f>AVERAGE(K56:P56)</f>
        <v>1</v>
      </c>
      <c r="L57" s="387"/>
      <c r="M57" s="387"/>
      <c r="N57" s="387"/>
      <c r="O57" s="387"/>
      <c r="P57" s="387"/>
      <c r="Q57" s="17"/>
      <c r="R57" s="16"/>
      <c r="S57" s="17"/>
      <c r="T57" s="18"/>
      <c r="U57" s="19"/>
      <c r="V57" s="77"/>
    </row>
    <row r="58" spans="1:23" ht="72.75" customHeight="1" x14ac:dyDescent="0.2">
      <c r="A58" s="408"/>
      <c r="B58" s="115" t="s">
        <v>219</v>
      </c>
      <c r="C58" s="142" t="s">
        <v>80</v>
      </c>
      <c r="D58" s="119">
        <v>0.9</v>
      </c>
      <c r="E58" s="64">
        <f>58/69</f>
        <v>0.84057971014492749</v>
      </c>
      <c r="F58" s="94">
        <f>191/199</f>
        <v>0.95979899497487442</v>
      </c>
      <c r="G58" s="94">
        <f>196/220</f>
        <v>0.89090909090909087</v>
      </c>
      <c r="H58" s="64">
        <f>173/203</f>
        <v>0.85221674876847286</v>
      </c>
      <c r="I58" s="143">
        <f>300/308</f>
        <v>0.97402597402597402</v>
      </c>
      <c r="J58" s="143">
        <f>292/298</f>
        <v>0.97986577181208057</v>
      </c>
      <c r="K58" s="143">
        <f>243/253</f>
        <v>0.96047430830039526</v>
      </c>
      <c r="L58" s="143">
        <f>301/305</f>
        <v>0.9868852459016394</v>
      </c>
      <c r="M58" s="94">
        <f>310/317</f>
        <v>0.97791798107255523</v>
      </c>
      <c r="N58" s="132">
        <f>316/326</f>
        <v>0.96932515337423308</v>
      </c>
      <c r="O58" s="94">
        <f>398/439</f>
        <v>0.90660592255125283</v>
      </c>
      <c r="P58" s="94">
        <f>294/322</f>
        <v>0.91304347826086951</v>
      </c>
      <c r="Q58" s="71">
        <f t="shared" si="1"/>
        <v>0.93430403167469711</v>
      </c>
      <c r="R58" s="16"/>
      <c r="S58" s="17"/>
      <c r="T58" s="18"/>
      <c r="U58" s="19"/>
      <c r="V58" s="77">
        <v>1</v>
      </c>
    </row>
    <row r="59" spans="1:23" ht="18.75" customHeight="1" x14ac:dyDescent="0.2">
      <c r="A59" s="408"/>
      <c r="B59" s="115" t="s">
        <v>47</v>
      </c>
      <c r="C59" s="89"/>
      <c r="D59" s="144"/>
      <c r="E59" s="387">
        <f>AVERAGE(E58:J58)</f>
        <v>0.91623271510590332</v>
      </c>
      <c r="F59" s="387"/>
      <c r="G59" s="387"/>
      <c r="H59" s="387"/>
      <c r="I59" s="387"/>
      <c r="J59" s="387"/>
      <c r="K59" s="387">
        <f>AVERAGE(K58:P58)</f>
        <v>0.9523753482434909</v>
      </c>
      <c r="L59" s="387"/>
      <c r="M59" s="387"/>
      <c r="N59" s="387"/>
      <c r="O59" s="387"/>
      <c r="P59" s="387"/>
      <c r="Q59" s="17"/>
      <c r="R59" s="16"/>
      <c r="S59" s="17"/>
      <c r="T59" s="18"/>
      <c r="U59" s="19"/>
      <c r="V59" s="77"/>
    </row>
    <row r="60" spans="1:23" ht="66.75" customHeight="1" x14ac:dyDescent="0.2">
      <c r="A60" s="408"/>
      <c r="B60" s="115" t="s">
        <v>220</v>
      </c>
      <c r="C60" s="142" t="s">
        <v>221</v>
      </c>
      <c r="D60" s="119">
        <v>0.9</v>
      </c>
      <c r="E60" s="145">
        <f>22/122</f>
        <v>0.18032786885245902</v>
      </c>
      <c r="F60" s="145">
        <f>168/263</f>
        <v>0.63878326996197721</v>
      </c>
      <c r="G60" s="145">
        <f>193/220</f>
        <v>0.87727272727272732</v>
      </c>
      <c r="H60" s="145">
        <f>203/233</f>
        <v>0.871244635193133</v>
      </c>
      <c r="I60" s="145">
        <f>154/170</f>
        <v>0.90588235294117647</v>
      </c>
      <c r="J60" s="145">
        <f>220/253</f>
        <v>0.86956521739130432</v>
      </c>
      <c r="K60" s="145">
        <f>240/264</f>
        <v>0.90909090909090906</v>
      </c>
      <c r="L60" s="145">
        <f>208/240</f>
        <v>0.8666666666666667</v>
      </c>
      <c r="M60" s="145">
        <f>327/388</f>
        <v>0.84278350515463918</v>
      </c>
      <c r="N60" s="146">
        <f>195/280</f>
        <v>0.6964285714285714</v>
      </c>
      <c r="O60" s="145">
        <f>289/338</f>
        <v>0.8550295857988166</v>
      </c>
      <c r="P60" s="145">
        <f>164/255</f>
        <v>0.64313725490196083</v>
      </c>
      <c r="Q60" s="71">
        <f t="shared" si="1"/>
        <v>0.76301771372119509</v>
      </c>
      <c r="R60" s="16" t="s">
        <v>27</v>
      </c>
      <c r="S60" s="17" t="s">
        <v>46</v>
      </c>
      <c r="T60" s="18"/>
      <c r="U60" s="19">
        <v>1</v>
      </c>
      <c r="V60" s="77">
        <v>1</v>
      </c>
    </row>
    <row r="61" spans="1:23" ht="18.75" customHeight="1" x14ac:dyDescent="0.2">
      <c r="A61" s="408"/>
      <c r="B61" s="115" t="s">
        <v>47</v>
      </c>
      <c r="C61" s="89"/>
      <c r="D61" s="144"/>
      <c r="E61" s="390">
        <f>AVERAGE(E60:J60)</f>
        <v>0.72384601193546283</v>
      </c>
      <c r="F61" s="390"/>
      <c r="G61" s="390"/>
      <c r="H61" s="390"/>
      <c r="I61" s="390"/>
      <c r="J61" s="390"/>
      <c r="K61" s="390">
        <f>AVERAGE(K60:P60)</f>
        <v>0.80218941550692735</v>
      </c>
      <c r="L61" s="390"/>
      <c r="M61" s="390"/>
      <c r="N61" s="390"/>
      <c r="O61" s="390"/>
      <c r="P61" s="390"/>
      <c r="Q61" s="17"/>
      <c r="R61" s="16"/>
      <c r="S61" s="17"/>
      <c r="T61" s="18"/>
      <c r="U61" s="19"/>
      <c r="V61" s="77"/>
    </row>
    <row r="62" spans="1:23" ht="99" customHeight="1" x14ac:dyDescent="0.2">
      <c r="A62" s="408"/>
      <c r="B62" s="48" t="s">
        <v>195</v>
      </c>
      <c r="C62" s="142" t="s">
        <v>81</v>
      </c>
      <c r="D62" s="119">
        <v>0.1</v>
      </c>
      <c r="E62" s="388">
        <v>0.36070000000000002</v>
      </c>
      <c r="F62" s="388"/>
      <c r="G62" s="388"/>
      <c r="H62" s="388"/>
      <c r="I62" s="388"/>
      <c r="J62" s="388"/>
      <c r="K62" s="388"/>
      <c r="L62" s="388"/>
      <c r="M62" s="388"/>
      <c r="N62" s="388"/>
      <c r="O62" s="388"/>
      <c r="P62" s="388"/>
      <c r="Q62" s="71">
        <f t="shared" si="1"/>
        <v>0.36070000000000002</v>
      </c>
      <c r="R62" s="16" t="s">
        <v>27</v>
      </c>
      <c r="S62" s="17" t="s">
        <v>39</v>
      </c>
      <c r="T62" s="18"/>
      <c r="U62" s="19">
        <v>1</v>
      </c>
      <c r="V62" s="77">
        <v>1</v>
      </c>
    </row>
    <row r="63" spans="1:23" ht="83.25" customHeight="1" x14ac:dyDescent="0.2">
      <c r="A63" s="408"/>
      <c r="B63" s="48" t="s">
        <v>194</v>
      </c>
      <c r="C63" s="142" t="s">
        <v>124</v>
      </c>
      <c r="D63" s="119">
        <v>0.1</v>
      </c>
      <c r="E63" s="350">
        <v>-1E-3</v>
      </c>
      <c r="F63" s="350"/>
      <c r="G63" s="350"/>
      <c r="H63" s="350"/>
      <c r="I63" s="350"/>
      <c r="J63" s="350"/>
      <c r="K63" s="350"/>
      <c r="L63" s="350"/>
      <c r="M63" s="350"/>
      <c r="N63" s="350"/>
      <c r="O63" s="350"/>
      <c r="P63" s="350"/>
      <c r="Q63" s="71">
        <f t="shared" si="1"/>
        <v>-1E-3</v>
      </c>
      <c r="R63" s="16" t="s">
        <v>27</v>
      </c>
      <c r="S63" s="17" t="s">
        <v>39</v>
      </c>
      <c r="T63" s="18"/>
      <c r="U63" s="19">
        <v>1</v>
      </c>
      <c r="V63" s="77">
        <v>1</v>
      </c>
    </row>
    <row r="64" spans="1:23" ht="102" customHeight="1" x14ac:dyDescent="0.2">
      <c r="A64" s="408"/>
      <c r="B64" s="48" t="s">
        <v>196</v>
      </c>
      <c r="C64" s="142" t="s">
        <v>82</v>
      </c>
      <c r="D64" s="119">
        <v>0.03</v>
      </c>
      <c r="E64" s="350">
        <v>1.2E-2</v>
      </c>
      <c r="F64" s="350"/>
      <c r="G64" s="350"/>
      <c r="H64" s="350"/>
      <c r="I64" s="350"/>
      <c r="J64" s="350"/>
      <c r="K64" s="350"/>
      <c r="L64" s="350"/>
      <c r="M64" s="350"/>
      <c r="N64" s="350"/>
      <c r="O64" s="350"/>
      <c r="P64" s="350"/>
      <c r="Q64" s="71">
        <f t="shared" si="1"/>
        <v>1.2E-2</v>
      </c>
      <c r="R64" s="16"/>
      <c r="S64" s="17"/>
      <c r="T64" s="18"/>
      <c r="U64" s="19"/>
      <c r="V64" s="77">
        <v>1</v>
      </c>
    </row>
    <row r="65" spans="1:257" ht="36.75" customHeight="1" x14ac:dyDescent="0.2">
      <c r="A65" s="408"/>
      <c r="B65" s="44" t="s">
        <v>222</v>
      </c>
      <c r="C65" s="89" t="s">
        <v>83</v>
      </c>
      <c r="D65" s="119">
        <v>0.75</v>
      </c>
      <c r="E65" s="286">
        <v>0.92759999999999998</v>
      </c>
      <c r="F65" s="286"/>
      <c r="G65" s="286"/>
      <c r="H65" s="286"/>
      <c r="I65" s="286"/>
      <c r="J65" s="286"/>
      <c r="K65" s="286"/>
      <c r="L65" s="286"/>
      <c r="M65" s="286"/>
      <c r="N65" s="286"/>
      <c r="O65" s="286"/>
      <c r="P65" s="286"/>
      <c r="Q65" s="71">
        <f t="shared" si="1"/>
        <v>0.92759999999999998</v>
      </c>
      <c r="R65" s="16" t="s">
        <v>26</v>
      </c>
      <c r="S65" s="17" t="s">
        <v>39</v>
      </c>
      <c r="T65" s="18"/>
      <c r="U65" s="19">
        <v>1</v>
      </c>
      <c r="V65" s="77">
        <v>1</v>
      </c>
    </row>
    <row r="66" spans="1:257" ht="57" customHeight="1" x14ac:dyDescent="0.2">
      <c r="A66" s="408"/>
      <c r="B66" s="44" t="s">
        <v>223</v>
      </c>
      <c r="C66" s="89" t="s">
        <v>84</v>
      </c>
      <c r="D66" s="119">
        <v>0.8</v>
      </c>
      <c r="E66" s="286">
        <v>0.94269999999999998</v>
      </c>
      <c r="F66" s="286"/>
      <c r="G66" s="286"/>
      <c r="H66" s="286"/>
      <c r="I66" s="286"/>
      <c r="J66" s="286"/>
      <c r="K66" s="286">
        <v>0.99050000000000005</v>
      </c>
      <c r="L66" s="286"/>
      <c r="M66" s="286"/>
      <c r="N66" s="286"/>
      <c r="O66" s="286"/>
      <c r="P66" s="286"/>
      <c r="Q66" s="71">
        <f t="shared" si="1"/>
        <v>0.96660000000000001</v>
      </c>
      <c r="R66" s="16"/>
      <c r="S66" s="17"/>
      <c r="T66" s="18"/>
      <c r="U66" s="19"/>
      <c r="V66" s="77">
        <v>1</v>
      </c>
    </row>
    <row r="67" spans="1:257" ht="50.25" customHeight="1" x14ac:dyDescent="0.2">
      <c r="A67" s="408"/>
      <c r="B67" s="44" t="s">
        <v>224</v>
      </c>
      <c r="C67" s="89" t="s">
        <v>85</v>
      </c>
      <c r="D67" s="119">
        <v>1</v>
      </c>
      <c r="E67" s="286">
        <f>5/5</f>
        <v>1</v>
      </c>
      <c r="F67" s="286"/>
      <c r="G67" s="286"/>
      <c r="H67" s="286"/>
      <c r="I67" s="286"/>
      <c r="J67" s="286"/>
      <c r="K67" s="286"/>
      <c r="L67" s="286"/>
      <c r="M67" s="286"/>
      <c r="N67" s="286"/>
      <c r="O67" s="286"/>
      <c r="P67" s="286"/>
      <c r="Q67" s="71">
        <f t="shared" si="1"/>
        <v>1</v>
      </c>
      <c r="R67" s="16" t="s">
        <v>27</v>
      </c>
      <c r="S67" s="17" t="s">
        <v>39</v>
      </c>
      <c r="T67" s="18"/>
      <c r="U67" s="19">
        <v>1</v>
      </c>
      <c r="V67" s="77">
        <v>1</v>
      </c>
    </row>
    <row r="68" spans="1:257" ht="45.75" customHeight="1" x14ac:dyDescent="0.2">
      <c r="A68" s="408"/>
      <c r="B68" s="147" t="s">
        <v>193</v>
      </c>
      <c r="C68" s="89" t="s">
        <v>86</v>
      </c>
      <c r="D68" s="119">
        <v>0.9</v>
      </c>
      <c r="E68" s="305">
        <f>440/468</f>
        <v>0.94017094017094016</v>
      </c>
      <c r="F68" s="305"/>
      <c r="G68" s="305"/>
      <c r="H68" s="305">
        <f>619/641</f>
        <v>0.96567862714508579</v>
      </c>
      <c r="I68" s="305"/>
      <c r="J68" s="305"/>
      <c r="K68" s="305">
        <f>625/650</f>
        <v>0.96153846153846156</v>
      </c>
      <c r="L68" s="305"/>
      <c r="M68" s="305"/>
      <c r="N68" s="305">
        <f>634/652</f>
        <v>0.97239263803680986</v>
      </c>
      <c r="O68" s="305"/>
      <c r="P68" s="305"/>
      <c r="Q68" s="71">
        <f t="shared" si="1"/>
        <v>0.95994516672282437</v>
      </c>
      <c r="R68" s="16" t="s">
        <v>26</v>
      </c>
      <c r="S68" s="17" t="s">
        <v>48</v>
      </c>
      <c r="T68" s="18"/>
      <c r="U68" s="19">
        <v>1</v>
      </c>
      <c r="V68" s="77">
        <v>1</v>
      </c>
    </row>
    <row r="69" spans="1:257" ht="15" customHeight="1" thickBot="1" x14ac:dyDescent="0.25">
      <c r="A69" s="409"/>
      <c r="B69" s="410" t="s">
        <v>52</v>
      </c>
      <c r="C69" s="410"/>
      <c r="D69" s="410"/>
      <c r="E69" s="284">
        <f t="shared" ref="E69" si="7">AVERAGE(E68:J68)</f>
        <v>0.95292478365801303</v>
      </c>
      <c r="F69" s="284"/>
      <c r="G69" s="284"/>
      <c r="H69" s="284"/>
      <c r="I69" s="284"/>
      <c r="J69" s="284"/>
      <c r="K69" s="284">
        <f t="shared" ref="K69" si="8">AVERAGE(K68:P68)</f>
        <v>0.96696554978763571</v>
      </c>
      <c r="L69" s="284"/>
      <c r="M69" s="284"/>
      <c r="N69" s="284"/>
      <c r="O69" s="284"/>
      <c r="P69" s="284"/>
      <c r="Q69" s="7"/>
      <c r="R69" s="130"/>
      <c r="S69" s="7"/>
      <c r="T69" s="78"/>
      <c r="U69" s="79"/>
      <c r="V69" s="80"/>
    </row>
    <row r="70" spans="1:257" ht="15.75" hidden="1" customHeight="1" x14ac:dyDescent="0.2">
      <c r="A70" s="310" t="s">
        <v>49</v>
      </c>
      <c r="B70" s="67" t="s">
        <v>50</v>
      </c>
      <c r="C70" s="96"/>
      <c r="D70" s="176"/>
      <c r="E70" s="329"/>
      <c r="F70" s="329"/>
      <c r="G70" s="329"/>
      <c r="H70" s="329"/>
      <c r="I70" s="329"/>
      <c r="J70" s="329"/>
      <c r="K70" s="329"/>
      <c r="L70" s="329"/>
      <c r="M70" s="329"/>
      <c r="N70" s="329"/>
      <c r="O70" s="329"/>
      <c r="P70" s="329"/>
      <c r="Q70" s="177">
        <f t="shared" ref="Q70:Q73" si="9">SUM(E70:P70)</f>
        <v>0</v>
      </c>
      <c r="R70" s="68"/>
      <c r="S70" s="177"/>
      <c r="T70" s="69"/>
      <c r="U70" s="70"/>
      <c r="V70" s="70"/>
    </row>
    <row r="71" spans="1:257" ht="15.75" hidden="1" customHeight="1" x14ac:dyDescent="0.2">
      <c r="A71" s="311"/>
      <c r="B71" s="28" t="s">
        <v>30</v>
      </c>
      <c r="C71" s="89"/>
      <c r="D71" s="110"/>
      <c r="E71" s="406"/>
      <c r="F71" s="406"/>
      <c r="G71" s="406"/>
      <c r="H71" s="406"/>
      <c r="I71" s="406"/>
      <c r="J71" s="406"/>
      <c r="K71" s="406"/>
      <c r="L71" s="406"/>
      <c r="M71" s="406"/>
      <c r="N71" s="406"/>
      <c r="O71" s="406"/>
      <c r="P71" s="406"/>
      <c r="Q71" s="17">
        <f t="shared" si="9"/>
        <v>0</v>
      </c>
      <c r="R71" s="16"/>
      <c r="S71" s="3"/>
      <c r="T71" s="4"/>
      <c r="U71" s="12"/>
      <c r="V71" s="12"/>
    </row>
    <row r="72" spans="1:257" ht="27" hidden="1" customHeight="1" x14ac:dyDescent="0.2">
      <c r="A72" s="311"/>
      <c r="B72" s="28" t="s">
        <v>31</v>
      </c>
      <c r="C72" s="89"/>
      <c r="D72" s="110"/>
      <c r="E72" s="406"/>
      <c r="F72" s="406"/>
      <c r="G72" s="406"/>
      <c r="H72" s="406"/>
      <c r="I72" s="406"/>
      <c r="J72" s="406"/>
      <c r="K72" s="406"/>
      <c r="L72" s="406"/>
      <c r="M72" s="406"/>
      <c r="N72" s="406"/>
      <c r="O72" s="406"/>
      <c r="P72" s="406"/>
      <c r="Q72" s="17">
        <f t="shared" si="9"/>
        <v>0</v>
      </c>
      <c r="R72" s="16"/>
      <c r="S72" s="3"/>
      <c r="T72" s="4"/>
      <c r="U72" s="12"/>
      <c r="V72" s="12"/>
    </row>
    <row r="73" spans="1:257" ht="38.25" hidden="1" customHeight="1" thickBot="1" x14ac:dyDescent="0.25">
      <c r="A73" s="312"/>
      <c r="B73" s="82" t="s">
        <v>32</v>
      </c>
      <c r="C73" s="92"/>
      <c r="D73" s="109"/>
      <c r="E73" s="405"/>
      <c r="F73" s="405"/>
      <c r="G73" s="405"/>
      <c r="H73" s="405"/>
      <c r="I73" s="405"/>
      <c r="J73" s="405"/>
      <c r="K73" s="405"/>
      <c r="L73" s="405"/>
      <c r="M73" s="405"/>
      <c r="N73" s="405"/>
      <c r="O73" s="405"/>
      <c r="P73" s="405"/>
      <c r="Q73" s="21">
        <f t="shared" si="9"/>
        <v>0</v>
      </c>
      <c r="R73" s="20"/>
      <c r="S73" s="21"/>
      <c r="T73" s="22"/>
      <c r="U73" s="23"/>
      <c r="V73" s="23"/>
    </row>
    <row r="74" spans="1:257" ht="91.5" customHeight="1" x14ac:dyDescent="0.2">
      <c r="A74" s="264" t="s">
        <v>51</v>
      </c>
      <c r="B74" s="15" t="s">
        <v>225</v>
      </c>
      <c r="C74" s="93" t="s">
        <v>87</v>
      </c>
      <c r="D74" s="105">
        <v>0.97</v>
      </c>
      <c r="E74" s="349">
        <f>92/93</f>
        <v>0.989247311827957</v>
      </c>
      <c r="F74" s="349"/>
      <c r="G74" s="349"/>
      <c r="H74" s="349"/>
      <c r="I74" s="349"/>
      <c r="J74" s="349"/>
      <c r="K74" s="349" t="s">
        <v>275</v>
      </c>
      <c r="L74" s="349"/>
      <c r="M74" s="349"/>
      <c r="N74" s="349"/>
      <c r="O74" s="349"/>
      <c r="P74" s="349"/>
      <c r="Q74" s="72">
        <f t="shared" ref="Q74:Q100" si="10">IF(AND((E74=0),(K74=0)),"ND",AVERAGE(E74:P74))</f>
        <v>0.989247311827957</v>
      </c>
      <c r="R74" s="128" t="s">
        <v>27</v>
      </c>
      <c r="S74" s="6"/>
      <c r="T74" s="74"/>
      <c r="U74" s="75">
        <v>1</v>
      </c>
      <c r="V74" s="76">
        <v>1</v>
      </c>
    </row>
    <row r="75" spans="1:257" ht="30.75" hidden="1" customHeight="1" x14ac:dyDescent="0.2">
      <c r="A75" s="265"/>
      <c r="B75" s="55" t="s">
        <v>53</v>
      </c>
      <c r="C75" s="91" t="s">
        <v>88</v>
      </c>
      <c r="D75" s="106" t="s">
        <v>125</v>
      </c>
      <c r="E75" s="317"/>
      <c r="F75" s="317"/>
      <c r="G75" s="317"/>
      <c r="H75" s="317"/>
      <c r="I75" s="317"/>
      <c r="J75" s="317"/>
      <c r="K75" s="317"/>
      <c r="L75" s="317"/>
      <c r="M75" s="317"/>
      <c r="N75" s="317"/>
      <c r="O75" s="317"/>
      <c r="P75" s="317"/>
      <c r="Q75" s="71" t="str">
        <f t="shared" si="10"/>
        <v>ND</v>
      </c>
      <c r="R75" s="16"/>
      <c r="S75" s="17"/>
      <c r="T75" s="18"/>
      <c r="U75" s="19"/>
      <c r="V75" s="77"/>
    </row>
    <row r="76" spans="1:257" ht="87" customHeight="1" x14ac:dyDescent="0.2">
      <c r="A76" s="265"/>
      <c r="B76" s="44" t="s">
        <v>228</v>
      </c>
      <c r="C76" s="89" t="s">
        <v>89</v>
      </c>
      <c r="D76" s="106">
        <v>0.8</v>
      </c>
      <c r="E76" s="348"/>
      <c r="F76" s="348"/>
      <c r="G76" s="348"/>
      <c r="H76" s="348"/>
      <c r="I76" s="348"/>
      <c r="J76" s="348"/>
      <c r="K76" s="348"/>
      <c r="L76" s="348"/>
      <c r="M76" s="348"/>
      <c r="N76" s="348"/>
      <c r="O76" s="348"/>
      <c r="P76" s="348"/>
      <c r="Q76" s="71" t="str">
        <f t="shared" si="10"/>
        <v>ND</v>
      </c>
      <c r="R76" s="16" t="s">
        <v>27</v>
      </c>
      <c r="S76" s="17"/>
      <c r="T76" s="18"/>
      <c r="U76" s="19">
        <v>1</v>
      </c>
      <c r="V76" s="77">
        <v>1</v>
      </c>
      <c r="W76" s="51"/>
    </row>
    <row r="77" spans="1:257" ht="19.5" hidden="1" customHeight="1" x14ac:dyDescent="0.2">
      <c r="A77" s="265"/>
      <c r="B77" s="133"/>
      <c r="C77" s="97"/>
      <c r="D77" s="347"/>
      <c r="E77" s="317"/>
      <c r="F77" s="317"/>
      <c r="G77" s="317"/>
      <c r="H77" s="317"/>
      <c r="I77" s="317"/>
      <c r="J77" s="317"/>
      <c r="K77" s="317"/>
      <c r="L77" s="317"/>
      <c r="M77" s="317"/>
      <c r="N77" s="317"/>
      <c r="O77" s="317"/>
      <c r="P77" s="317"/>
      <c r="Q77" s="71" t="str">
        <f t="shared" si="10"/>
        <v>ND</v>
      </c>
      <c r="R77" s="131"/>
      <c r="S77" s="188"/>
      <c r="T77" s="38"/>
      <c r="U77" s="189"/>
      <c r="V77" s="190"/>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c r="IS77" s="8"/>
      <c r="IT77" s="8"/>
      <c r="IU77" s="8"/>
      <c r="IV77" s="8"/>
      <c r="IW77" s="8"/>
    </row>
    <row r="78" spans="1:257" ht="24.75" hidden="1" customHeight="1" x14ac:dyDescent="0.2">
      <c r="A78" s="265"/>
      <c r="B78" s="83"/>
      <c r="C78" s="59"/>
      <c r="D78" s="347"/>
      <c r="E78" s="318"/>
      <c r="F78" s="318"/>
      <c r="G78" s="318"/>
      <c r="H78" s="318"/>
      <c r="I78" s="318"/>
      <c r="J78" s="318"/>
      <c r="K78" s="318"/>
      <c r="L78" s="318"/>
      <c r="M78" s="318"/>
      <c r="N78" s="318"/>
      <c r="O78" s="318"/>
      <c r="P78" s="318"/>
      <c r="Q78" s="71" t="str">
        <f t="shared" si="10"/>
        <v>ND</v>
      </c>
      <c r="R78" s="131"/>
      <c r="S78" s="188"/>
      <c r="T78" s="38"/>
      <c r="U78" s="189"/>
      <c r="V78" s="190"/>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c r="IS78" s="8"/>
      <c r="IT78" s="8"/>
      <c r="IU78" s="8"/>
      <c r="IV78" s="8"/>
      <c r="IW78" s="8"/>
    </row>
    <row r="79" spans="1:257" ht="18.75" hidden="1" customHeight="1" x14ac:dyDescent="0.2">
      <c r="A79" s="265"/>
      <c r="B79" s="83"/>
      <c r="C79" s="59"/>
      <c r="D79" s="347"/>
      <c r="E79" s="318"/>
      <c r="F79" s="318"/>
      <c r="G79" s="318"/>
      <c r="H79" s="318"/>
      <c r="I79" s="318"/>
      <c r="J79" s="318"/>
      <c r="K79" s="318"/>
      <c r="L79" s="318"/>
      <c r="M79" s="318"/>
      <c r="N79" s="318"/>
      <c r="O79" s="318"/>
      <c r="P79" s="318"/>
      <c r="Q79" s="71" t="str">
        <f t="shared" si="10"/>
        <v>ND</v>
      </c>
      <c r="R79" s="131"/>
      <c r="S79" s="188"/>
      <c r="T79" s="38"/>
      <c r="U79" s="189"/>
      <c r="V79" s="190"/>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c r="IS79" s="8"/>
      <c r="IT79" s="8"/>
      <c r="IU79" s="8"/>
      <c r="IV79" s="8"/>
      <c r="IW79" s="8"/>
    </row>
    <row r="80" spans="1:257" s="8" customFormat="1" ht="28.5" hidden="1" customHeight="1" x14ac:dyDescent="0.2">
      <c r="A80" s="265"/>
      <c r="B80" s="83"/>
      <c r="C80" s="89"/>
      <c r="D80" s="347"/>
      <c r="E80" s="318"/>
      <c r="F80" s="318"/>
      <c r="G80" s="318"/>
      <c r="H80" s="318"/>
      <c r="I80" s="318"/>
      <c r="J80" s="318"/>
      <c r="K80" s="318"/>
      <c r="L80" s="318"/>
      <c r="M80" s="318"/>
      <c r="N80" s="318"/>
      <c r="O80" s="318"/>
      <c r="P80" s="318"/>
      <c r="Q80" s="71" t="str">
        <f t="shared" si="10"/>
        <v>ND</v>
      </c>
      <c r="R80" s="131"/>
      <c r="S80" s="188"/>
      <c r="T80" s="38"/>
      <c r="U80" s="189"/>
      <c r="V80" s="190"/>
      <c r="W80" s="50"/>
    </row>
    <row r="81" spans="1:257" s="8" customFormat="1" ht="27" hidden="1" customHeight="1" x14ac:dyDescent="0.2">
      <c r="A81" s="265"/>
      <c r="B81" s="83"/>
      <c r="C81" s="89"/>
      <c r="D81" s="347"/>
      <c r="E81" s="318"/>
      <c r="F81" s="318"/>
      <c r="G81" s="318"/>
      <c r="H81" s="318"/>
      <c r="I81" s="318"/>
      <c r="J81" s="318"/>
      <c r="K81" s="318"/>
      <c r="L81" s="318"/>
      <c r="M81" s="318"/>
      <c r="N81" s="318"/>
      <c r="O81" s="318"/>
      <c r="P81" s="318"/>
      <c r="Q81" s="71" t="str">
        <f t="shared" si="10"/>
        <v>ND</v>
      </c>
      <c r="R81" s="131"/>
      <c r="S81" s="188"/>
      <c r="T81" s="38"/>
      <c r="U81" s="189"/>
      <c r="V81" s="190"/>
      <c r="W81" s="50"/>
    </row>
    <row r="82" spans="1:257" s="8" customFormat="1" ht="58.5" customHeight="1" x14ac:dyDescent="0.2">
      <c r="A82" s="265"/>
      <c r="B82" s="44" t="s">
        <v>229</v>
      </c>
      <c r="C82" s="89" t="s">
        <v>146</v>
      </c>
      <c r="D82" s="106">
        <v>0.6</v>
      </c>
      <c r="E82" s="319">
        <v>1</v>
      </c>
      <c r="F82" s="319"/>
      <c r="G82" s="319"/>
      <c r="H82" s="319"/>
      <c r="I82" s="319"/>
      <c r="J82" s="319"/>
      <c r="K82" s="319"/>
      <c r="L82" s="319"/>
      <c r="M82" s="319"/>
      <c r="N82" s="319"/>
      <c r="O82" s="319"/>
      <c r="P82" s="319"/>
      <c r="Q82" s="71">
        <f t="shared" si="10"/>
        <v>1</v>
      </c>
      <c r="R82" s="131"/>
      <c r="S82" s="188"/>
      <c r="T82" s="38"/>
      <c r="U82" s="189"/>
      <c r="V82" s="190">
        <v>1</v>
      </c>
      <c r="W82" s="50"/>
    </row>
    <row r="83" spans="1:257" s="8" customFormat="1" ht="33.75" hidden="1" customHeight="1" x14ac:dyDescent="0.2">
      <c r="A83" s="265"/>
      <c r="B83" s="227" t="s">
        <v>135</v>
      </c>
      <c r="C83" s="97" t="s">
        <v>136</v>
      </c>
      <c r="D83" s="382">
        <v>0.9</v>
      </c>
      <c r="E83" s="317"/>
      <c r="F83" s="317"/>
      <c r="G83" s="317"/>
      <c r="H83" s="317"/>
      <c r="I83" s="317"/>
      <c r="J83" s="317"/>
      <c r="K83" s="317"/>
      <c r="L83" s="317"/>
      <c r="M83" s="317"/>
      <c r="N83" s="317"/>
      <c r="O83" s="317"/>
      <c r="P83" s="317"/>
      <c r="Q83" s="71" t="str">
        <f t="shared" si="10"/>
        <v>ND</v>
      </c>
      <c r="R83" s="16" t="s">
        <v>27</v>
      </c>
      <c r="S83" s="17"/>
      <c r="T83" s="18"/>
      <c r="U83" s="19">
        <v>1</v>
      </c>
      <c r="V83" s="77"/>
      <c r="W83" s="50"/>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row>
    <row r="84" spans="1:257" s="8" customFormat="1" ht="63" customHeight="1" x14ac:dyDescent="0.2">
      <c r="A84" s="265"/>
      <c r="B84" s="97" t="s">
        <v>226</v>
      </c>
      <c r="C84" s="89" t="s">
        <v>137</v>
      </c>
      <c r="D84" s="382"/>
      <c r="E84" s="317">
        <f>9/10</f>
        <v>0.9</v>
      </c>
      <c r="F84" s="317"/>
      <c r="G84" s="317"/>
      <c r="H84" s="317"/>
      <c r="I84" s="317"/>
      <c r="J84" s="317"/>
      <c r="K84" s="317">
        <v>1</v>
      </c>
      <c r="L84" s="317"/>
      <c r="M84" s="317"/>
      <c r="N84" s="317"/>
      <c r="O84" s="317"/>
      <c r="P84" s="317"/>
      <c r="Q84" s="71">
        <f t="shared" si="10"/>
        <v>0.95</v>
      </c>
      <c r="R84" s="20"/>
      <c r="S84" s="21"/>
      <c r="T84" s="22"/>
      <c r="U84" s="23"/>
      <c r="V84" s="168">
        <v>1</v>
      </c>
      <c r="W84" s="50"/>
      <c r="X84" s="1" t="s">
        <v>227</v>
      </c>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row>
    <row r="85" spans="1:257" s="8" customFormat="1" ht="27" hidden="1" customHeight="1" x14ac:dyDescent="0.2">
      <c r="A85" s="265"/>
      <c r="B85" s="55" t="s">
        <v>138</v>
      </c>
      <c r="C85" s="89" t="s">
        <v>139</v>
      </c>
      <c r="D85" s="382"/>
      <c r="E85" s="351"/>
      <c r="F85" s="351"/>
      <c r="G85" s="351"/>
      <c r="H85" s="351"/>
      <c r="I85" s="351"/>
      <c r="J85" s="351"/>
      <c r="K85" s="318"/>
      <c r="L85" s="318"/>
      <c r="M85" s="318"/>
      <c r="N85" s="318"/>
      <c r="O85" s="318"/>
      <c r="P85" s="318"/>
      <c r="Q85" s="71" t="str">
        <f t="shared" si="10"/>
        <v>ND</v>
      </c>
      <c r="R85" s="20"/>
      <c r="S85" s="21"/>
      <c r="T85" s="22"/>
      <c r="U85" s="23"/>
      <c r="V85" s="168"/>
      <c r="W85" s="50"/>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row>
    <row r="86" spans="1:257" s="8" customFormat="1" ht="80.25" customHeight="1" x14ac:dyDescent="0.2">
      <c r="A86" s="265"/>
      <c r="B86" s="83" t="s">
        <v>230</v>
      </c>
      <c r="C86" s="89" t="s">
        <v>231</v>
      </c>
      <c r="D86" s="53">
        <v>0.8</v>
      </c>
      <c r="E86" s="319">
        <v>1</v>
      </c>
      <c r="F86" s="319"/>
      <c r="G86" s="319"/>
      <c r="H86" s="319"/>
      <c r="I86" s="319"/>
      <c r="J86" s="319"/>
      <c r="K86" s="319"/>
      <c r="L86" s="319"/>
      <c r="M86" s="319"/>
      <c r="N86" s="319"/>
      <c r="O86" s="319"/>
      <c r="P86" s="319"/>
      <c r="Q86" s="71">
        <f t="shared" si="10"/>
        <v>1</v>
      </c>
      <c r="R86" s="20"/>
      <c r="S86" s="21"/>
      <c r="T86" s="22"/>
      <c r="U86" s="23"/>
      <c r="V86" s="168">
        <v>1</v>
      </c>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row>
    <row r="87" spans="1:257" s="8" customFormat="1" ht="87" customHeight="1" x14ac:dyDescent="0.2">
      <c r="A87" s="265"/>
      <c r="B87" s="83" t="s">
        <v>232</v>
      </c>
      <c r="C87" s="89" t="s">
        <v>233</v>
      </c>
      <c r="D87" s="53">
        <v>0.5</v>
      </c>
      <c r="E87" s="305">
        <f>120/144</f>
        <v>0.83333333333333337</v>
      </c>
      <c r="F87" s="305"/>
      <c r="G87" s="305"/>
      <c r="H87" s="305">
        <f>104/144</f>
        <v>0.72222222222222221</v>
      </c>
      <c r="I87" s="305"/>
      <c r="J87" s="305"/>
      <c r="K87" s="305">
        <f>84/144</f>
        <v>0.58333333333333337</v>
      </c>
      <c r="L87" s="305"/>
      <c r="M87" s="305"/>
      <c r="N87" s="305">
        <v>0.75</v>
      </c>
      <c r="O87" s="305"/>
      <c r="P87" s="305"/>
      <c r="Q87" s="71">
        <f t="shared" si="10"/>
        <v>0.72222222222222221</v>
      </c>
      <c r="R87" s="20"/>
      <c r="S87" s="21"/>
      <c r="T87" s="22"/>
      <c r="U87" s="23"/>
      <c r="V87" s="168">
        <v>1</v>
      </c>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row>
    <row r="88" spans="1:257" ht="15" customHeight="1" x14ac:dyDescent="0.2">
      <c r="A88" s="265"/>
      <c r="B88" s="147" t="s">
        <v>52</v>
      </c>
      <c r="C88" s="48"/>
      <c r="D88" s="149"/>
      <c r="E88" s="305">
        <f>AVERAGE(E87:J87)</f>
        <v>0.77777777777777779</v>
      </c>
      <c r="F88" s="305"/>
      <c r="G88" s="305"/>
      <c r="H88" s="305"/>
      <c r="I88" s="305"/>
      <c r="J88" s="305"/>
      <c r="K88" s="305">
        <f>AVERAGE(K87:P87)</f>
        <v>0.66666666666666674</v>
      </c>
      <c r="L88" s="305"/>
      <c r="M88" s="305"/>
      <c r="N88" s="305"/>
      <c r="O88" s="305"/>
      <c r="P88" s="305"/>
      <c r="Q88" s="17"/>
      <c r="R88" s="16"/>
      <c r="S88" s="17"/>
      <c r="T88" s="18"/>
      <c r="U88" s="19"/>
      <c r="V88" s="77"/>
    </row>
    <row r="89" spans="1:257" s="8" customFormat="1" ht="48.75" customHeight="1" x14ac:dyDescent="0.2">
      <c r="A89" s="265"/>
      <c r="B89" s="88" t="s">
        <v>234</v>
      </c>
      <c r="C89" s="89" t="s">
        <v>235</v>
      </c>
      <c r="D89" s="53">
        <v>0.8</v>
      </c>
      <c r="E89" s="305">
        <f>93/120</f>
        <v>0.77500000000000002</v>
      </c>
      <c r="F89" s="305"/>
      <c r="G89" s="305"/>
      <c r="H89" s="305">
        <f>83/104</f>
        <v>0.79807692307692313</v>
      </c>
      <c r="I89" s="305"/>
      <c r="J89" s="305"/>
      <c r="K89" s="305">
        <f>68/84</f>
        <v>0.80952380952380953</v>
      </c>
      <c r="L89" s="305"/>
      <c r="M89" s="305"/>
      <c r="N89" s="305" t="s">
        <v>276</v>
      </c>
      <c r="O89" s="305"/>
      <c r="P89" s="305"/>
      <c r="Q89" s="71">
        <f t="shared" si="10"/>
        <v>0.79420024420024438</v>
      </c>
      <c r="R89" s="20"/>
      <c r="S89" s="21"/>
      <c r="T89" s="22"/>
      <c r="U89" s="23"/>
      <c r="V89" s="168">
        <v>1</v>
      </c>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row>
    <row r="90" spans="1:257" ht="18" customHeight="1" x14ac:dyDescent="0.2">
      <c r="A90" s="265"/>
      <c r="B90" s="147" t="s">
        <v>52</v>
      </c>
      <c r="C90" s="48"/>
      <c r="D90" s="149"/>
      <c r="E90" s="305">
        <f>AVERAGE(E89:J89)</f>
        <v>0.78653846153846163</v>
      </c>
      <c r="F90" s="305"/>
      <c r="G90" s="305"/>
      <c r="H90" s="305"/>
      <c r="I90" s="305"/>
      <c r="J90" s="305"/>
      <c r="K90" s="305">
        <f>AVERAGE(H89:P89)</f>
        <v>0.80380036630036633</v>
      </c>
      <c r="L90" s="305"/>
      <c r="M90" s="305"/>
      <c r="N90" s="305"/>
      <c r="O90" s="305"/>
      <c r="P90" s="305"/>
      <c r="Q90" s="71">
        <f t="shared" si="10"/>
        <v>0.79516941391941398</v>
      </c>
      <c r="R90" s="16"/>
      <c r="S90" s="17"/>
      <c r="T90" s="18"/>
      <c r="U90" s="19"/>
      <c r="V90" s="77"/>
    </row>
    <row r="91" spans="1:257" s="8" customFormat="1" ht="80.25" customHeight="1" x14ac:dyDescent="0.2">
      <c r="A91" s="265"/>
      <c r="B91" s="44" t="s">
        <v>188</v>
      </c>
      <c r="C91" s="89" t="s">
        <v>189</v>
      </c>
      <c r="D91" s="150" t="s">
        <v>132</v>
      </c>
      <c r="E91" s="318">
        <v>0</v>
      </c>
      <c r="F91" s="318"/>
      <c r="G91" s="318"/>
      <c r="H91" s="318"/>
      <c r="I91" s="318"/>
      <c r="J91" s="318"/>
      <c r="K91" s="318"/>
      <c r="L91" s="318"/>
      <c r="M91" s="318"/>
      <c r="N91" s="318"/>
      <c r="O91" s="318"/>
      <c r="P91" s="318"/>
      <c r="Q91" s="71" t="str">
        <f t="shared" si="10"/>
        <v>ND</v>
      </c>
      <c r="R91" s="20"/>
      <c r="S91" s="21"/>
      <c r="T91" s="22"/>
      <c r="U91" s="23"/>
      <c r="V91" s="168">
        <v>1</v>
      </c>
      <c r="W91" s="50"/>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row>
    <row r="92" spans="1:257" s="8" customFormat="1" ht="45" hidden="1" customHeight="1" x14ac:dyDescent="0.2">
      <c r="A92" s="265"/>
      <c r="B92" s="225" t="s">
        <v>166</v>
      </c>
      <c r="C92" s="89" t="s">
        <v>167</v>
      </c>
      <c r="D92" s="150" t="s">
        <v>132</v>
      </c>
      <c r="E92" s="52">
        <v>316.67</v>
      </c>
      <c r="F92" s="52">
        <v>590</v>
      </c>
      <c r="G92" s="52">
        <v>777.27</v>
      </c>
      <c r="H92" s="52">
        <v>862.5</v>
      </c>
      <c r="I92" s="52">
        <v>557.14</v>
      </c>
      <c r="J92" s="52">
        <v>515</v>
      </c>
      <c r="K92" s="52">
        <v>585</v>
      </c>
      <c r="L92" s="25">
        <v>1.5909</v>
      </c>
      <c r="M92" s="25">
        <v>5.4090999999999996</v>
      </c>
      <c r="N92" s="25">
        <v>6.5</v>
      </c>
      <c r="O92" s="25">
        <v>5.8</v>
      </c>
      <c r="P92" s="25">
        <v>4.1818</v>
      </c>
      <c r="Q92" s="71">
        <f t="shared" si="10"/>
        <v>352.25515000000001</v>
      </c>
      <c r="R92" s="20"/>
      <c r="S92" s="21"/>
      <c r="T92" s="22"/>
      <c r="U92" s="23"/>
      <c r="V92" s="168"/>
      <c r="W92" s="50"/>
      <c r="X92" s="54" t="s">
        <v>147</v>
      </c>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row>
    <row r="93" spans="1:257" ht="33" customHeight="1" x14ac:dyDescent="0.2">
      <c r="A93" s="265"/>
      <c r="B93" s="147" t="s">
        <v>47</v>
      </c>
      <c r="C93" s="89"/>
      <c r="D93" s="151"/>
      <c r="E93" s="320">
        <f>AVERAGE(E92:J92)</f>
        <v>603.09666666666669</v>
      </c>
      <c r="F93" s="321"/>
      <c r="G93" s="321"/>
      <c r="H93" s="321"/>
      <c r="I93" s="321"/>
      <c r="J93" s="321"/>
      <c r="K93" s="320">
        <f>AVERAGE(K92:P92)</f>
        <v>101.41363333333332</v>
      </c>
      <c r="L93" s="321"/>
      <c r="M93" s="321"/>
      <c r="N93" s="321"/>
      <c r="O93" s="321"/>
      <c r="P93" s="321"/>
      <c r="Q93" s="17"/>
      <c r="R93" s="16"/>
      <c r="S93" s="17"/>
      <c r="T93" s="18"/>
      <c r="U93" s="19"/>
      <c r="V93" s="77"/>
    </row>
    <row r="94" spans="1:257" ht="48.75" customHeight="1" x14ac:dyDescent="0.2">
      <c r="A94" s="265"/>
      <c r="B94" s="148" t="s">
        <v>168</v>
      </c>
      <c r="C94" s="89" t="s">
        <v>172</v>
      </c>
      <c r="D94" s="150" t="s">
        <v>132</v>
      </c>
      <c r="E94" s="52">
        <v>0</v>
      </c>
      <c r="F94" s="52">
        <v>0</v>
      </c>
      <c r="G94" s="52">
        <v>0.17</v>
      </c>
      <c r="H94" s="52">
        <v>0.08</v>
      </c>
      <c r="I94" s="52">
        <v>0.08</v>
      </c>
      <c r="J94" s="52">
        <v>0.09</v>
      </c>
      <c r="K94" s="58">
        <f>0/1089</f>
        <v>0</v>
      </c>
      <c r="L94" s="25">
        <f>2/1129</f>
        <v>1.7714791851195749E-3</v>
      </c>
      <c r="M94" s="25">
        <f>1/1215</f>
        <v>8.2304526748971192E-4</v>
      </c>
      <c r="N94" s="25">
        <f>1/1118</f>
        <v>8.9445438282647585E-4</v>
      </c>
      <c r="O94" s="25">
        <f>1/1122</f>
        <v>8.9126559714795004E-4</v>
      </c>
      <c r="P94" s="25">
        <f>0/408</f>
        <v>0</v>
      </c>
      <c r="Q94" s="71" t="str">
        <f t="shared" si="10"/>
        <v>ND</v>
      </c>
      <c r="R94" s="20"/>
      <c r="S94" s="21"/>
      <c r="T94" s="22"/>
      <c r="U94" s="23"/>
      <c r="V94" s="168">
        <v>1</v>
      </c>
    </row>
    <row r="95" spans="1:257" ht="18.75" customHeight="1" x14ac:dyDescent="0.2">
      <c r="A95" s="265"/>
      <c r="B95" s="147" t="s">
        <v>47</v>
      </c>
      <c r="C95" s="89"/>
      <c r="D95" s="151"/>
      <c r="E95" s="320">
        <f>AVERAGE(E94:J94)</f>
        <v>7.0000000000000007E-2</v>
      </c>
      <c r="F95" s="321"/>
      <c r="G95" s="321"/>
      <c r="H95" s="321"/>
      <c r="I95" s="321"/>
      <c r="J95" s="321"/>
      <c r="K95" s="374">
        <f>AVERAGE(K94:P94)</f>
        <v>7.3004073876395197E-4</v>
      </c>
      <c r="L95" s="374"/>
      <c r="M95" s="374"/>
      <c r="N95" s="374"/>
      <c r="O95" s="374"/>
      <c r="P95" s="374"/>
      <c r="Q95" s="17"/>
      <c r="R95" s="16"/>
      <c r="S95" s="17"/>
      <c r="T95" s="18"/>
      <c r="U95" s="19"/>
      <c r="V95" s="77"/>
    </row>
    <row r="96" spans="1:257" ht="82.5" customHeight="1" x14ac:dyDescent="0.2">
      <c r="A96" s="265"/>
      <c r="B96" s="148" t="s">
        <v>169</v>
      </c>
      <c r="C96" s="89" t="s">
        <v>173</v>
      </c>
      <c r="D96" s="150" t="s">
        <v>132</v>
      </c>
      <c r="E96" s="52">
        <v>0</v>
      </c>
      <c r="F96" s="52">
        <v>4</v>
      </c>
      <c r="G96" s="52">
        <v>4.76</v>
      </c>
      <c r="H96" s="52">
        <v>4.29</v>
      </c>
      <c r="I96" s="52">
        <v>4.3499999999999996</v>
      </c>
      <c r="J96" s="52">
        <v>1.97</v>
      </c>
      <c r="K96" s="25">
        <v>1.7399999999999999E-2</v>
      </c>
      <c r="L96" s="25">
        <v>0</v>
      </c>
      <c r="M96" s="25">
        <v>1.8100000000000002E-2</v>
      </c>
      <c r="N96" s="25">
        <v>2.24E-2</v>
      </c>
      <c r="O96" s="25">
        <v>1.78E-2</v>
      </c>
      <c r="P96" s="25">
        <v>2.7E-2</v>
      </c>
      <c r="Q96" s="71">
        <f t="shared" si="10"/>
        <v>1.622725</v>
      </c>
      <c r="R96" s="20"/>
      <c r="S96" s="21"/>
      <c r="T96" s="22"/>
      <c r="U96" s="23"/>
      <c r="V96" s="168">
        <v>1</v>
      </c>
    </row>
    <row r="97" spans="1:24" ht="18.75" customHeight="1" x14ac:dyDescent="0.2">
      <c r="A97" s="265"/>
      <c r="B97" s="147" t="s">
        <v>47</v>
      </c>
      <c r="C97" s="89"/>
      <c r="D97" s="151"/>
      <c r="E97" s="320">
        <f>AVERAGE(E96:J96)</f>
        <v>3.2283333333333331</v>
      </c>
      <c r="F97" s="321"/>
      <c r="G97" s="321"/>
      <c r="H97" s="321"/>
      <c r="I97" s="321"/>
      <c r="J97" s="321"/>
      <c r="K97" s="320">
        <f>AVERAGE(K96:P96)</f>
        <v>1.7116666666666665E-2</v>
      </c>
      <c r="L97" s="321"/>
      <c r="M97" s="321"/>
      <c r="N97" s="321"/>
      <c r="O97" s="321"/>
      <c r="P97" s="321"/>
      <c r="Q97" s="17"/>
      <c r="R97" s="16"/>
      <c r="S97" s="17"/>
      <c r="T97" s="18"/>
      <c r="U97" s="19"/>
      <c r="V97" s="77"/>
    </row>
    <row r="98" spans="1:24" ht="65.25" customHeight="1" x14ac:dyDescent="0.2">
      <c r="A98" s="265"/>
      <c r="B98" s="148" t="s">
        <v>170</v>
      </c>
      <c r="C98" s="89" t="s">
        <v>174</v>
      </c>
      <c r="D98" s="150" t="s">
        <v>132</v>
      </c>
      <c r="E98" s="65">
        <v>0</v>
      </c>
      <c r="F98" s="65">
        <v>0</v>
      </c>
      <c r="G98" s="65">
        <v>0</v>
      </c>
      <c r="H98" s="65">
        <f>0/4</f>
        <v>0</v>
      </c>
      <c r="I98" s="65">
        <v>0</v>
      </c>
      <c r="J98" s="65">
        <f>0/6</f>
        <v>0</v>
      </c>
      <c r="K98" s="65">
        <f>0/7</f>
        <v>0</v>
      </c>
      <c r="L98" s="66">
        <v>0</v>
      </c>
      <c r="M98" s="66">
        <v>0</v>
      </c>
      <c r="N98" s="66">
        <v>0</v>
      </c>
      <c r="O98" s="66">
        <v>0</v>
      </c>
      <c r="P98" s="66">
        <v>0</v>
      </c>
      <c r="Q98" s="71" t="str">
        <f t="shared" si="10"/>
        <v>ND</v>
      </c>
      <c r="R98" s="20" t="s">
        <v>27</v>
      </c>
      <c r="S98" s="21"/>
      <c r="T98" s="22"/>
      <c r="U98" s="23">
        <v>1</v>
      </c>
      <c r="V98" s="168">
        <v>1</v>
      </c>
    </row>
    <row r="99" spans="1:24" ht="18.75" customHeight="1" x14ac:dyDescent="0.2">
      <c r="A99" s="265"/>
      <c r="B99" s="147" t="s">
        <v>47</v>
      </c>
      <c r="C99" s="89"/>
      <c r="D99" s="151"/>
      <c r="E99" s="320">
        <f>AVERAGE(E98:J98)</f>
        <v>0</v>
      </c>
      <c r="F99" s="321"/>
      <c r="G99" s="321"/>
      <c r="H99" s="321"/>
      <c r="I99" s="321"/>
      <c r="J99" s="321"/>
      <c r="K99" s="320">
        <f>AVERAGE(K98:P98)</f>
        <v>0</v>
      </c>
      <c r="L99" s="321"/>
      <c r="M99" s="321"/>
      <c r="N99" s="321"/>
      <c r="O99" s="321"/>
      <c r="P99" s="321"/>
      <c r="Q99" s="17"/>
      <c r="R99" s="16"/>
      <c r="S99" s="17"/>
      <c r="T99" s="18"/>
      <c r="U99" s="19"/>
      <c r="V99" s="77"/>
    </row>
    <row r="100" spans="1:24" ht="54" customHeight="1" thickBot="1" x14ac:dyDescent="0.25">
      <c r="A100" s="266"/>
      <c r="B100" s="14" t="s">
        <v>171</v>
      </c>
      <c r="C100" s="90" t="s">
        <v>175</v>
      </c>
      <c r="D100" s="191" t="s">
        <v>132</v>
      </c>
      <c r="E100" s="376">
        <v>0</v>
      </c>
      <c r="F100" s="376"/>
      <c r="G100" s="376"/>
      <c r="H100" s="376"/>
      <c r="I100" s="376"/>
      <c r="J100" s="376"/>
      <c r="K100" s="376"/>
      <c r="L100" s="376"/>
      <c r="M100" s="376"/>
      <c r="N100" s="376"/>
      <c r="O100" s="376"/>
      <c r="P100" s="376"/>
      <c r="Q100" s="159" t="str">
        <f t="shared" si="10"/>
        <v>ND</v>
      </c>
      <c r="R100" s="152"/>
      <c r="S100" s="152"/>
      <c r="T100" s="153"/>
      <c r="U100" s="186"/>
      <c r="V100" s="187">
        <v>1</v>
      </c>
    </row>
    <row r="101" spans="1:24" ht="71.25" customHeight="1" x14ac:dyDescent="0.2">
      <c r="A101" s="274" t="s">
        <v>54</v>
      </c>
      <c r="B101" s="238" t="s">
        <v>191</v>
      </c>
      <c r="C101" s="240" t="s">
        <v>90</v>
      </c>
      <c r="D101" s="107">
        <v>0.97</v>
      </c>
      <c r="E101" s="29">
        <f>87/87</f>
        <v>1</v>
      </c>
      <c r="F101" s="29">
        <f>316/317</f>
        <v>0.99684542586750791</v>
      </c>
      <c r="G101" s="29">
        <f>367/371</f>
        <v>0.98921832884097038</v>
      </c>
      <c r="H101" s="29">
        <f>509/510</f>
        <v>0.99803921568627452</v>
      </c>
      <c r="I101" s="29">
        <f>259/260</f>
        <v>0.99615384615384617</v>
      </c>
      <c r="J101" s="29">
        <f>93/95</f>
        <v>0.97894736842105268</v>
      </c>
      <c r="K101" s="29">
        <f>155/157</f>
        <v>0.98726114649681529</v>
      </c>
      <c r="L101" s="29">
        <f>410/415</f>
        <v>0.98795180722891562</v>
      </c>
      <c r="M101" s="29">
        <f>420/426</f>
        <v>0.9859154929577465</v>
      </c>
      <c r="N101" s="29">
        <f>351/353</f>
        <v>0.99433427762039661</v>
      </c>
      <c r="O101" s="29">
        <f>218/223</f>
        <v>0.97757847533632292</v>
      </c>
      <c r="P101" s="29">
        <f>35/36</f>
        <v>0.97222222222222221</v>
      </c>
      <c r="Q101" s="72">
        <f t="shared" ref="Q101:Q107" si="11">IF(AND((E101=0),(K101=0)),"ND",AVERAGE(E101:P101))</f>
        <v>0.98870563390267241</v>
      </c>
      <c r="R101" s="179"/>
      <c r="S101" s="180"/>
      <c r="T101" s="181"/>
      <c r="U101" s="182">
        <v>1</v>
      </c>
      <c r="V101" s="183">
        <v>1</v>
      </c>
    </row>
    <row r="102" spans="1:24" ht="23.25" customHeight="1" x14ac:dyDescent="0.2">
      <c r="A102" s="275"/>
      <c r="B102" s="239"/>
      <c r="C102" s="241"/>
      <c r="D102" s="120" t="s">
        <v>52</v>
      </c>
      <c r="E102" s="305">
        <f>AVERAGE(E101:J101)</f>
        <v>0.993200697494942</v>
      </c>
      <c r="F102" s="305"/>
      <c r="G102" s="305"/>
      <c r="H102" s="305"/>
      <c r="I102" s="305"/>
      <c r="J102" s="305"/>
      <c r="K102" s="305">
        <f>AVERAGE(K101:P101)</f>
        <v>0.98421057031040327</v>
      </c>
      <c r="L102" s="305"/>
      <c r="M102" s="305"/>
      <c r="N102" s="305"/>
      <c r="O102" s="305"/>
      <c r="P102" s="305"/>
      <c r="Q102" s="17"/>
      <c r="R102" s="169"/>
      <c r="S102" s="184"/>
      <c r="T102" s="170"/>
      <c r="U102" s="84"/>
      <c r="V102" s="185"/>
    </row>
    <row r="103" spans="1:24" ht="81" customHeight="1" x14ac:dyDescent="0.2">
      <c r="A103" s="275"/>
      <c r="B103" s="247" t="s">
        <v>190</v>
      </c>
      <c r="C103" s="241" t="s">
        <v>91</v>
      </c>
      <c r="D103" s="120">
        <v>0.97</v>
      </c>
      <c r="E103" s="60">
        <f>86/86</f>
        <v>1</v>
      </c>
      <c r="F103" s="60">
        <f>134/134</f>
        <v>1</v>
      </c>
      <c r="G103" s="60">
        <f>131/132</f>
        <v>0.99242424242424243</v>
      </c>
      <c r="H103" s="60">
        <f>162/162</f>
        <v>1</v>
      </c>
      <c r="I103" s="60">
        <f>173/173</f>
        <v>1</v>
      </c>
      <c r="J103" s="60">
        <f>117/118</f>
        <v>0.99152542372881358</v>
      </c>
      <c r="K103" s="60">
        <f>130/130</f>
        <v>1</v>
      </c>
      <c r="L103" s="60">
        <f>183/184</f>
        <v>0.99456521739130432</v>
      </c>
      <c r="M103" s="60">
        <f>166/170</f>
        <v>0.97647058823529409</v>
      </c>
      <c r="N103" s="60">
        <f>125/128</f>
        <v>0.9765625</v>
      </c>
      <c r="O103" s="60">
        <f>122/123</f>
        <v>0.99186991869918695</v>
      </c>
      <c r="P103" s="60">
        <f>53/54</f>
        <v>0.98148148148148151</v>
      </c>
      <c r="Q103" s="71">
        <f t="shared" si="11"/>
        <v>0.99207494766336024</v>
      </c>
      <c r="R103" s="169"/>
      <c r="S103" s="184"/>
      <c r="T103" s="170"/>
      <c r="U103" s="84">
        <v>1</v>
      </c>
      <c r="V103" s="185">
        <v>1</v>
      </c>
    </row>
    <row r="104" spans="1:24" ht="28.5" customHeight="1" x14ac:dyDescent="0.2">
      <c r="A104" s="275"/>
      <c r="B104" s="247"/>
      <c r="C104" s="241"/>
      <c r="D104" s="120" t="s">
        <v>52</v>
      </c>
      <c r="E104" s="305">
        <f>AVERAGE(E103:J103)</f>
        <v>0.99732494435884256</v>
      </c>
      <c r="F104" s="305"/>
      <c r="G104" s="305"/>
      <c r="H104" s="305"/>
      <c r="I104" s="305"/>
      <c r="J104" s="305"/>
      <c r="K104" s="305">
        <f>AVERAGE(K103:P103)</f>
        <v>0.98682495096787781</v>
      </c>
      <c r="L104" s="305"/>
      <c r="M104" s="305"/>
      <c r="N104" s="305"/>
      <c r="O104" s="305"/>
      <c r="P104" s="305"/>
      <c r="Q104" s="17"/>
      <c r="R104" s="169"/>
      <c r="S104" s="184"/>
      <c r="T104" s="170"/>
      <c r="U104" s="84"/>
      <c r="V104" s="185"/>
    </row>
    <row r="105" spans="1:24" ht="66" customHeight="1" x14ac:dyDescent="0.2">
      <c r="A105" s="275"/>
      <c r="B105" s="246" t="s">
        <v>192</v>
      </c>
      <c r="C105" s="241" t="s">
        <v>92</v>
      </c>
      <c r="D105" s="120">
        <v>0.97</v>
      </c>
      <c r="E105" s="60">
        <f t="shared" ref="E105:I107" si="12">461/461</f>
        <v>1</v>
      </c>
      <c r="F105" s="60">
        <f t="shared" si="12"/>
        <v>1</v>
      </c>
      <c r="G105" s="60">
        <f t="shared" si="12"/>
        <v>1</v>
      </c>
      <c r="H105" s="60">
        <f t="shared" si="12"/>
        <v>1</v>
      </c>
      <c r="I105" s="60">
        <f>461/461</f>
        <v>1</v>
      </c>
      <c r="J105" s="60">
        <f>461/461</f>
        <v>1</v>
      </c>
      <c r="K105" s="60">
        <f>455/461</f>
        <v>0.98698481561822127</v>
      </c>
      <c r="L105" s="60">
        <f>456/461</f>
        <v>0.98915401301518435</v>
      </c>
      <c r="M105" s="60">
        <f>455/461</f>
        <v>0.98698481561822127</v>
      </c>
      <c r="N105" s="60">
        <f>454/461</f>
        <v>0.98481561822125818</v>
      </c>
      <c r="O105" s="60">
        <f>456/461</f>
        <v>0.98915401301518435</v>
      </c>
      <c r="P105" s="60">
        <f>454/461</f>
        <v>0.98481561822125818</v>
      </c>
      <c r="Q105" s="71">
        <f t="shared" si="11"/>
        <v>0.99349240780911074</v>
      </c>
      <c r="R105" s="169"/>
      <c r="S105" s="169"/>
      <c r="T105" s="170"/>
      <c r="U105" s="84"/>
      <c r="V105" s="185">
        <v>1</v>
      </c>
    </row>
    <row r="106" spans="1:24" ht="30.75" customHeight="1" x14ac:dyDescent="0.2">
      <c r="A106" s="275"/>
      <c r="B106" s="246"/>
      <c r="C106" s="241"/>
      <c r="D106" s="120" t="s">
        <v>52</v>
      </c>
      <c r="E106" s="305">
        <f>AVERAGE(E105:J105)</f>
        <v>1</v>
      </c>
      <c r="F106" s="305"/>
      <c r="G106" s="305"/>
      <c r="H106" s="305"/>
      <c r="I106" s="305"/>
      <c r="J106" s="305"/>
      <c r="K106" s="305">
        <f>AVERAGE(K105:P105)</f>
        <v>0.98698481561822138</v>
      </c>
      <c r="L106" s="305"/>
      <c r="M106" s="305"/>
      <c r="N106" s="305"/>
      <c r="O106" s="305"/>
      <c r="P106" s="305"/>
      <c r="Q106" s="17"/>
      <c r="R106" s="169"/>
      <c r="S106" s="169"/>
      <c r="T106" s="170"/>
      <c r="U106" s="84"/>
      <c r="V106" s="185"/>
    </row>
    <row r="107" spans="1:24" ht="57.75" customHeight="1" x14ac:dyDescent="0.2">
      <c r="A107" s="275"/>
      <c r="B107" s="246" t="s">
        <v>267</v>
      </c>
      <c r="C107" s="241" t="s">
        <v>93</v>
      </c>
      <c r="D107" s="120">
        <v>0.97</v>
      </c>
      <c r="E107" s="60">
        <f t="shared" si="12"/>
        <v>1</v>
      </c>
      <c r="F107" s="60">
        <f t="shared" si="12"/>
        <v>1</v>
      </c>
      <c r="G107" s="60">
        <f t="shared" si="12"/>
        <v>1</v>
      </c>
      <c r="H107" s="60">
        <f t="shared" si="12"/>
        <v>1</v>
      </c>
      <c r="I107" s="60">
        <f t="shared" si="12"/>
        <v>1</v>
      </c>
      <c r="J107" s="60">
        <f>461/461</f>
        <v>1</v>
      </c>
      <c r="K107" s="60">
        <f>455/461</f>
        <v>0.98698481561822127</v>
      </c>
      <c r="L107" s="60">
        <f>456/461</f>
        <v>0.98915401301518435</v>
      </c>
      <c r="M107" s="60">
        <f>454/461</f>
        <v>0.98481561822125818</v>
      </c>
      <c r="N107" s="60">
        <f>452/461</f>
        <v>0.9804772234273319</v>
      </c>
      <c r="O107" s="60">
        <f>455/461</f>
        <v>0.98698481561822127</v>
      </c>
      <c r="P107" s="60">
        <f>456/461</f>
        <v>0.98915401301518435</v>
      </c>
      <c r="Q107" s="71">
        <f t="shared" si="11"/>
        <v>0.99313087490961693</v>
      </c>
      <c r="R107" s="169"/>
      <c r="S107" s="169"/>
      <c r="T107" s="170"/>
      <c r="U107" s="84"/>
      <c r="V107" s="185">
        <v>1</v>
      </c>
      <c r="X107" s="54" t="s">
        <v>147</v>
      </c>
    </row>
    <row r="108" spans="1:24" ht="30" customHeight="1" thickBot="1" x14ac:dyDescent="0.25">
      <c r="A108" s="276"/>
      <c r="B108" s="292"/>
      <c r="C108" s="316"/>
      <c r="D108" s="108" t="s">
        <v>52</v>
      </c>
      <c r="E108" s="284">
        <f>AVERAGE(E107:J107)</f>
        <v>1</v>
      </c>
      <c r="F108" s="284"/>
      <c r="G108" s="284"/>
      <c r="H108" s="284"/>
      <c r="I108" s="284"/>
      <c r="J108" s="284"/>
      <c r="K108" s="284">
        <f>AVERAGE(K107:P107)</f>
        <v>0.98626174981923354</v>
      </c>
      <c r="L108" s="284"/>
      <c r="M108" s="284"/>
      <c r="N108" s="284"/>
      <c r="O108" s="284"/>
      <c r="P108" s="284"/>
      <c r="Q108" s="7"/>
      <c r="R108" s="152"/>
      <c r="S108" s="152"/>
      <c r="T108" s="153"/>
      <c r="U108" s="186"/>
      <c r="V108" s="187"/>
    </row>
    <row r="109" spans="1:24" ht="15.75" hidden="1" customHeight="1" x14ac:dyDescent="0.2">
      <c r="A109" s="277" t="s">
        <v>55</v>
      </c>
      <c r="B109" s="222" t="s">
        <v>50</v>
      </c>
      <c r="C109" s="96"/>
      <c r="D109" s="176"/>
      <c r="E109" s="383"/>
      <c r="F109" s="383"/>
      <c r="G109" s="383"/>
      <c r="H109" s="383"/>
      <c r="I109" s="383"/>
      <c r="J109" s="383"/>
      <c r="K109" s="314"/>
      <c r="L109" s="314"/>
      <c r="M109" s="314"/>
      <c r="N109" s="314"/>
      <c r="O109" s="314"/>
      <c r="P109" s="314"/>
      <c r="Q109" s="177">
        <f t="shared" ref="Q109:Q112" si="13">SUM(E109:P109)</f>
        <v>0</v>
      </c>
      <c r="R109" s="68"/>
      <c r="S109" s="177"/>
      <c r="T109" s="69"/>
      <c r="U109" s="70"/>
      <c r="V109" s="178"/>
    </row>
    <row r="110" spans="1:24" ht="14.25" hidden="1" customHeight="1" x14ac:dyDescent="0.2">
      <c r="A110" s="278"/>
      <c r="B110" s="223" t="s">
        <v>30</v>
      </c>
      <c r="C110" s="89"/>
      <c r="D110" s="110"/>
      <c r="E110" s="315"/>
      <c r="F110" s="315"/>
      <c r="G110" s="315"/>
      <c r="H110" s="315"/>
      <c r="I110" s="315"/>
      <c r="J110" s="315"/>
      <c r="K110" s="242"/>
      <c r="L110" s="242"/>
      <c r="M110" s="242"/>
      <c r="N110" s="242"/>
      <c r="O110" s="242"/>
      <c r="P110" s="242"/>
      <c r="Q110" s="17">
        <f t="shared" si="13"/>
        <v>0</v>
      </c>
      <c r="R110" s="16"/>
      <c r="S110" s="3"/>
      <c r="T110" s="4"/>
      <c r="U110" s="12"/>
      <c r="V110" s="12"/>
    </row>
    <row r="111" spans="1:24" ht="29.25" hidden="1" customHeight="1" x14ac:dyDescent="0.2">
      <c r="A111" s="278"/>
      <c r="B111" s="223" t="s">
        <v>31</v>
      </c>
      <c r="C111" s="89"/>
      <c r="D111" s="110"/>
      <c r="E111" s="315"/>
      <c r="F111" s="315"/>
      <c r="G111" s="315"/>
      <c r="H111" s="315"/>
      <c r="I111" s="315"/>
      <c r="J111" s="315"/>
      <c r="K111" s="242"/>
      <c r="L111" s="242"/>
      <c r="M111" s="242"/>
      <c r="N111" s="242"/>
      <c r="O111" s="242"/>
      <c r="P111" s="242"/>
      <c r="Q111" s="17">
        <f t="shared" si="13"/>
        <v>0</v>
      </c>
      <c r="R111" s="16"/>
      <c r="S111" s="3"/>
      <c r="T111" s="4"/>
      <c r="U111" s="12"/>
      <c r="V111" s="12"/>
    </row>
    <row r="112" spans="1:24" ht="48" hidden="1" customHeight="1" thickBot="1" x14ac:dyDescent="0.25">
      <c r="A112" s="279"/>
      <c r="B112" s="224" t="s">
        <v>32</v>
      </c>
      <c r="C112" s="92"/>
      <c r="D112" s="109"/>
      <c r="E112" s="385"/>
      <c r="F112" s="385"/>
      <c r="G112" s="385"/>
      <c r="H112" s="385"/>
      <c r="I112" s="385"/>
      <c r="J112" s="385"/>
      <c r="K112" s="384"/>
      <c r="L112" s="384"/>
      <c r="M112" s="384"/>
      <c r="N112" s="384"/>
      <c r="O112" s="384"/>
      <c r="P112" s="384"/>
      <c r="Q112" s="21">
        <f t="shared" si="13"/>
        <v>0</v>
      </c>
      <c r="R112" s="20"/>
      <c r="S112" s="21"/>
      <c r="T112" s="22"/>
      <c r="U112" s="23"/>
      <c r="V112" s="23"/>
    </row>
    <row r="113" spans="1:29" ht="79.5" customHeight="1" x14ac:dyDescent="0.2">
      <c r="A113" s="402" t="s">
        <v>56</v>
      </c>
      <c r="B113" s="85" t="s">
        <v>262</v>
      </c>
      <c r="C113" s="93" t="s">
        <v>94</v>
      </c>
      <c r="D113" s="116">
        <v>1</v>
      </c>
      <c r="E113" s="248">
        <f>306/316</f>
        <v>0.96835443037974689</v>
      </c>
      <c r="F113" s="253"/>
      <c r="G113" s="253"/>
      <c r="H113" s="253"/>
      <c r="I113" s="253"/>
      <c r="J113" s="253"/>
      <c r="K113" s="248">
        <f>301/305</f>
        <v>0.9868852459016394</v>
      </c>
      <c r="L113" s="253"/>
      <c r="M113" s="253"/>
      <c r="N113" s="253"/>
      <c r="O113" s="253"/>
      <c r="P113" s="253"/>
      <c r="Q113" s="72">
        <f t="shared" ref="Q113:Q115" si="14">IF(AND((E113=0),(K113=0)),"ND",AVERAGE(E113:P113))</f>
        <v>0.97761983814069309</v>
      </c>
      <c r="R113" s="128"/>
      <c r="S113" s="73"/>
      <c r="T113" s="74"/>
      <c r="U113" s="75">
        <v>1</v>
      </c>
      <c r="V113" s="76">
        <v>1</v>
      </c>
    </row>
    <row r="114" spans="1:29" ht="47.25" customHeight="1" x14ac:dyDescent="0.2">
      <c r="A114" s="403"/>
      <c r="B114" s="48" t="s">
        <v>263</v>
      </c>
      <c r="C114" s="89" t="s">
        <v>95</v>
      </c>
      <c r="D114" s="117">
        <v>0.9</v>
      </c>
      <c r="E114" s="242">
        <f>14/17</f>
        <v>0.82352941176470584</v>
      </c>
      <c r="F114" s="242"/>
      <c r="G114" s="242"/>
      <c r="H114" s="242"/>
      <c r="I114" s="242"/>
      <c r="J114" s="242"/>
      <c r="K114" s="242"/>
      <c r="L114" s="242"/>
      <c r="M114" s="242"/>
      <c r="N114" s="242"/>
      <c r="O114" s="242"/>
      <c r="P114" s="242"/>
      <c r="Q114" s="71">
        <f t="shared" si="14"/>
        <v>0.82352941176470584</v>
      </c>
      <c r="R114" s="16"/>
      <c r="S114" s="30"/>
      <c r="T114" s="18"/>
      <c r="U114" s="19"/>
      <c r="V114" s="77">
        <v>1</v>
      </c>
    </row>
    <row r="115" spans="1:29" ht="63.75" customHeight="1" thickBot="1" x14ac:dyDescent="0.25">
      <c r="A115" s="404"/>
      <c r="B115" s="174" t="s">
        <v>264</v>
      </c>
      <c r="C115" s="90" t="s">
        <v>96</v>
      </c>
      <c r="D115" s="175">
        <v>0.9</v>
      </c>
      <c r="E115" s="236">
        <f>310/310</f>
        <v>1</v>
      </c>
      <c r="F115" s="237"/>
      <c r="G115" s="237"/>
      <c r="H115" s="237"/>
      <c r="I115" s="237"/>
      <c r="J115" s="237"/>
      <c r="K115" s="236">
        <f>305/305</f>
        <v>1</v>
      </c>
      <c r="L115" s="237"/>
      <c r="M115" s="237"/>
      <c r="N115" s="237"/>
      <c r="O115" s="237"/>
      <c r="P115" s="237"/>
      <c r="Q115" s="159">
        <f t="shared" si="14"/>
        <v>1</v>
      </c>
      <c r="R115" s="130"/>
      <c r="S115" s="160"/>
      <c r="T115" s="78"/>
      <c r="U115" s="79"/>
      <c r="V115" s="80">
        <v>1</v>
      </c>
    </row>
    <row r="116" spans="1:29" ht="63.75" customHeight="1" x14ac:dyDescent="0.2">
      <c r="A116" s="271" t="s">
        <v>120</v>
      </c>
      <c r="B116" s="161" t="s">
        <v>210</v>
      </c>
      <c r="C116" s="93" t="s">
        <v>100</v>
      </c>
      <c r="D116" s="162">
        <v>0.7</v>
      </c>
      <c r="E116" s="248">
        <f>27/31</f>
        <v>0.87096774193548387</v>
      </c>
      <c r="F116" s="248"/>
      <c r="G116" s="248"/>
      <c r="H116" s="248"/>
      <c r="I116" s="248"/>
      <c r="J116" s="248"/>
      <c r="K116" s="248"/>
      <c r="L116" s="248"/>
      <c r="M116" s="248"/>
      <c r="N116" s="248"/>
      <c r="O116" s="248"/>
      <c r="P116" s="248"/>
      <c r="Q116" s="72">
        <f t="shared" ref="Q116:Q147" si="15">IF(AND((E116=0),(K116=0)),"ND",AVERAGE(E116:P116))</f>
        <v>0.87096774193548387</v>
      </c>
      <c r="R116" s="128"/>
      <c r="S116" s="73"/>
      <c r="T116" s="74"/>
      <c r="U116" s="75">
        <v>1</v>
      </c>
      <c r="V116" s="76">
        <v>1</v>
      </c>
      <c r="W116" s="86"/>
    </row>
    <row r="117" spans="1:29" ht="66.75" customHeight="1" x14ac:dyDescent="0.2">
      <c r="A117" s="272"/>
      <c r="B117" s="246" t="s">
        <v>211</v>
      </c>
      <c r="C117" s="241" t="s">
        <v>101</v>
      </c>
      <c r="D117" s="98">
        <v>0.8</v>
      </c>
      <c r="E117" s="60">
        <f>4/4</f>
        <v>1</v>
      </c>
      <c r="F117" s="60">
        <f>5/5</f>
        <v>1</v>
      </c>
      <c r="G117" s="60">
        <f>19/19</f>
        <v>1</v>
      </c>
      <c r="H117" s="60">
        <f>12/12</f>
        <v>1</v>
      </c>
      <c r="I117" s="60">
        <f>11/11</f>
        <v>1</v>
      </c>
      <c r="J117" s="60">
        <f>17/17</f>
        <v>1</v>
      </c>
      <c r="K117" s="60">
        <f>15/15</f>
        <v>1</v>
      </c>
      <c r="L117" s="60">
        <f>16/16</f>
        <v>1</v>
      </c>
      <c r="M117" s="60">
        <f>38/38</f>
        <v>1</v>
      </c>
      <c r="N117" s="60">
        <f>15/15</f>
        <v>1</v>
      </c>
      <c r="O117" s="60">
        <f>26/26</f>
        <v>1</v>
      </c>
      <c r="P117" s="60">
        <f>6/6</f>
        <v>1</v>
      </c>
      <c r="Q117" s="71">
        <f t="shared" si="15"/>
        <v>1</v>
      </c>
      <c r="R117" s="16"/>
      <c r="S117" s="30"/>
      <c r="T117" s="18"/>
      <c r="U117" s="19"/>
      <c r="V117" s="77">
        <v>1</v>
      </c>
      <c r="W117" s="86"/>
    </row>
    <row r="118" spans="1:29" ht="15.75" x14ac:dyDescent="0.2">
      <c r="A118" s="272"/>
      <c r="B118" s="247"/>
      <c r="C118" s="241"/>
      <c r="D118" s="98" t="s">
        <v>52</v>
      </c>
      <c r="E118" s="305">
        <f>AVERAGE(E117:J117)</f>
        <v>1</v>
      </c>
      <c r="F118" s="305"/>
      <c r="G118" s="305"/>
      <c r="H118" s="305"/>
      <c r="I118" s="305"/>
      <c r="J118" s="305"/>
      <c r="K118" s="305">
        <f>AVERAGE(K117:P117)</f>
        <v>1</v>
      </c>
      <c r="L118" s="305"/>
      <c r="M118" s="305"/>
      <c r="N118" s="305"/>
      <c r="O118" s="305"/>
      <c r="P118" s="305"/>
      <c r="Q118" s="17"/>
      <c r="R118" s="169"/>
      <c r="S118" s="170"/>
      <c r="T118" s="170"/>
      <c r="U118" s="171"/>
      <c r="V118" s="172"/>
      <c r="W118" s="86"/>
    </row>
    <row r="119" spans="1:29" ht="55.5" customHeight="1" thickBot="1" x14ac:dyDescent="0.4">
      <c r="A119" s="273"/>
      <c r="B119" s="173" t="s">
        <v>212</v>
      </c>
      <c r="C119" s="230" t="s">
        <v>140</v>
      </c>
      <c r="D119" s="163">
        <v>1</v>
      </c>
      <c r="E119" s="256">
        <f>329/329</f>
        <v>1</v>
      </c>
      <c r="F119" s="257"/>
      <c r="G119" s="257"/>
      <c r="H119" s="257"/>
      <c r="I119" s="257"/>
      <c r="J119" s="257"/>
      <c r="K119" s="258">
        <f>340/340</f>
        <v>1</v>
      </c>
      <c r="L119" s="259"/>
      <c r="M119" s="259"/>
      <c r="N119" s="259"/>
      <c r="O119" s="259"/>
      <c r="P119" s="259"/>
      <c r="Q119" s="159">
        <f t="shared" si="15"/>
        <v>1</v>
      </c>
      <c r="R119" s="152"/>
      <c r="S119" s="153"/>
      <c r="T119" s="153"/>
      <c r="U119" s="154"/>
      <c r="V119" s="80">
        <v>1</v>
      </c>
      <c r="W119" s="86"/>
    </row>
    <row r="120" spans="1:29" ht="72" customHeight="1" x14ac:dyDescent="0.35">
      <c r="A120" s="377" t="s">
        <v>103</v>
      </c>
      <c r="B120" s="380" t="s">
        <v>241</v>
      </c>
      <c r="C120" s="93" t="s">
        <v>277</v>
      </c>
      <c r="D120" s="381">
        <v>0.7</v>
      </c>
      <c r="E120" s="269">
        <f>41/49</f>
        <v>0.83673469387755106</v>
      </c>
      <c r="F120" s="270"/>
      <c r="G120" s="270"/>
      <c r="H120" s="270"/>
      <c r="I120" s="270"/>
      <c r="J120" s="270"/>
      <c r="K120" s="269">
        <f>46/54</f>
        <v>0.85185185185185186</v>
      </c>
      <c r="L120" s="270"/>
      <c r="M120" s="270"/>
      <c r="N120" s="270"/>
      <c r="O120" s="270"/>
      <c r="P120" s="270"/>
      <c r="Q120" s="72">
        <f t="shared" si="15"/>
        <v>0.84429327286470146</v>
      </c>
      <c r="R120" s="128"/>
      <c r="S120" s="73"/>
      <c r="T120" s="74"/>
      <c r="U120" s="75">
        <v>1</v>
      </c>
      <c r="V120" s="391">
        <v>1</v>
      </c>
    </row>
    <row r="121" spans="1:29" ht="72" customHeight="1" x14ac:dyDescent="0.35">
      <c r="A121" s="378"/>
      <c r="B121" s="366"/>
      <c r="C121" s="89" t="s">
        <v>278</v>
      </c>
      <c r="D121" s="382"/>
      <c r="E121" s="356">
        <f>30/38</f>
        <v>0.78947368421052633</v>
      </c>
      <c r="F121" s="357"/>
      <c r="G121" s="357"/>
      <c r="H121" s="357"/>
      <c r="I121" s="357"/>
      <c r="J121" s="357"/>
      <c r="K121" s="356">
        <f>29/38</f>
        <v>0.76315789473684215</v>
      </c>
      <c r="L121" s="357"/>
      <c r="M121" s="357"/>
      <c r="N121" s="357"/>
      <c r="O121" s="357"/>
      <c r="P121" s="357"/>
      <c r="Q121" s="71">
        <f t="shared" si="15"/>
        <v>0.77631578947368429</v>
      </c>
      <c r="R121" s="16"/>
      <c r="S121" s="30"/>
      <c r="T121" s="18"/>
      <c r="U121" s="19"/>
      <c r="V121" s="392"/>
    </row>
    <row r="122" spans="1:29" ht="72" customHeight="1" x14ac:dyDescent="0.35">
      <c r="A122" s="378"/>
      <c r="B122" s="366"/>
      <c r="C122" s="89" t="s">
        <v>279</v>
      </c>
      <c r="D122" s="382"/>
      <c r="E122" s="358">
        <v>0.7702</v>
      </c>
      <c r="F122" s="359"/>
      <c r="G122" s="359"/>
      <c r="H122" s="359"/>
      <c r="I122" s="359"/>
      <c r="J122" s="359"/>
      <c r="K122" s="358">
        <f>72/100</f>
        <v>0.72</v>
      </c>
      <c r="L122" s="359"/>
      <c r="M122" s="359"/>
      <c r="N122" s="359"/>
      <c r="O122" s="359"/>
      <c r="P122" s="359"/>
      <c r="Q122" s="71">
        <f t="shared" si="15"/>
        <v>0.74509999999999998</v>
      </c>
      <c r="R122" s="16"/>
      <c r="S122" s="30"/>
      <c r="T122" s="18"/>
      <c r="U122" s="19"/>
      <c r="V122" s="392"/>
      <c r="X122" s="54" t="s">
        <v>147</v>
      </c>
    </row>
    <row r="123" spans="1:29" ht="72" customHeight="1" x14ac:dyDescent="0.35">
      <c r="A123" s="378"/>
      <c r="B123" s="366"/>
      <c r="C123" s="89" t="s">
        <v>280</v>
      </c>
      <c r="D123" s="382"/>
      <c r="E123" s="360">
        <f>48/61</f>
        <v>0.78688524590163933</v>
      </c>
      <c r="F123" s="361"/>
      <c r="G123" s="361"/>
      <c r="H123" s="361"/>
      <c r="I123" s="361"/>
      <c r="J123" s="361"/>
      <c r="K123" s="360">
        <f>46/59</f>
        <v>0.77966101694915257</v>
      </c>
      <c r="L123" s="361"/>
      <c r="M123" s="361"/>
      <c r="N123" s="361"/>
      <c r="O123" s="361"/>
      <c r="P123" s="361"/>
      <c r="Q123" s="71">
        <f t="shared" si="15"/>
        <v>0.78327313142539601</v>
      </c>
      <c r="R123" s="16"/>
      <c r="S123" s="30"/>
      <c r="T123" s="18"/>
      <c r="U123" s="19"/>
      <c r="V123" s="393"/>
      <c r="X123" s="54" t="s">
        <v>147</v>
      </c>
    </row>
    <row r="124" spans="1:29" ht="70.5" customHeight="1" x14ac:dyDescent="0.2">
      <c r="A124" s="378"/>
      <c r="B124" s="24" t="s">
        <v>268</v>
      </c>
      <c r="C124" s="89" t="s">
        <v>107</v>
      </c>
      <c r="D124" s="118">
        <v>1</v>
      </c>
      <c r="E124" s="249">
        <f>3/3</f>
        <v>1</v>
      </c>
      <c r="F124" s="249"/>
      <c r="G124" s="249"/>
      <c r="H124" s="249"/>
      <c r="I124" s="249"/>
      <c r="J124" s="249"/>
      <c r="K124" s="249"/>
      <c r="L124" s="249"/>
      <c r="M124" s="249"/>
      <c r="N124" s="249"/>
      <c r="O124" s="249"/>
      <c r="P124" s="249"/>
      <c r="Q124" s="71">
        <f t="shared" si="15"/>
        <v>1</v>
      </c>
      <c r="R124" s="16"/>
      <c r="S124" s="30"/>
      <c r="T124" s="18"/>
      <c r="U124" s="19"/>
      <c r="V124" s="77">
        <v>1</v>
      </c>
      <c r="X124" s="268" t="s">
        <v>152</v>
      </c>
      <c r="Y124" s="267" t="s">
        <v>144</v>
      </c>
      <c r="Z124" s="267"/>
      <c r="AB124" s="267" t="s">
        <v>145</v>
      </c>
      <c r="AC124" s="267"/>
    </row>
    <row r="125" spans="1:29" ht="66" customHeight="1" x14ac:dyDescent="0.2">
      <c r="A125" s="378"/>
      <c r="B125" s="28" t="s">
        <v>269</v>
      </c>
      <c r="C125" s="89" t="s">
        <v>108</v>
      </c>
      <c r="D125" s="118">
        <v>0.9</v>
      </c>
      <c r="E125" s="249">
        <f>6/6</f>
        <v>1</v>
      </c>
      <c r="F125" s="249"/>
      <c r="G125" s="249"/>
      <c r="H125" s="249"/>
      <c r="I125" s="249"/>
      <c r="J125" s="249"/>
      <c r="K125" s="249"/>
      <c r="L125" s="249"/>
      <c r="M125" s="249"/>
      <c r="N125" s="249"/>
      <c r="O125" s="249"/>
      <c r="P125" s="249"/>
      <c r="Q125" s="71">
        <f t="shared" si="15"/>
        <v>1</v>
      </c>
      <c r="R125" s="16"/>
      <c r="S125" s="30"/>
      <c r="T125" s="18"/>
      <c r="U125" s="19"/>
      <c r="V125" s="77">
        <v>1</v>
      </c>
      <c r="X125" s="268"/>
      <c r="Y125" s="38" t="s">
        <v>153</v>
      </c>
      <c r="Z125" s="38" t="s">
        <v>154</v>
      </c>
      <c r="AB125" s="37" t="s">
        <v>153</v>
      </c>
      <c r="AC125" s="38" t="s">
        <v>154</v>
      </c>
    </row>
    <row r="126" spans="1:29" ht="39.75" customHeight="1" x14ac:dyDescent="0.2">
      <c r="A126" s="378"/>
      <c r="B126" s="247" t="s">
        <v>109</v>
      </c>
      <c r="C126" s="89" t="s">
        <v>244</v>
      </c>
      <c r="D126" s="365" t="s">
        <v>110</v>
      </c>
      <c r="E126" s="362">
        <v>4.66</v>
      </c>
      <c r="F126" s="362"/>
      <c r="G126" s="362"/>
      <c r="H126" s="362"/>
      <c r="I126" s="362"/>
      <c r="J126" s="362"/>
      <c r="K126" s="362">
        <v>4.72</v>
      </c>
      <c r="L126" s="362"/>
      <c r="M126" s="362"/>
      <c r="N126" s="362"/>
      <c r="O126" s="362"/>
      <c r="P126" s="362"/>
      <c r="Q126" s="71">
        <f t="shared" si="15"/>
        <v>4.6899999999999995</v>
      </c>
      <c r="R126" s="16"/>
      <c r="S126" s="30"/>
      <c r="T126" s="18"/>
      <c r="U126" s="19"/>
      <c r="V126" s="77">
        <v>1</v>
      </c>
      <c r="X126" s="39" t="s">
        <v>148</v>
      </c>
      <c r="Y126" s="35">
        <v>44</v>
      </c>
      <c r="Z126" s="35">
        <v>54</v>
      </c>
      <c r="AA126" s="33"/>
      <c r="AB126" s="35">
        <v>42</v>
      </c>
      <c r="AC126" s="35">
        <v>53</v>
      </c>
    </row>
    <row r="127" spans="1:29" ht="39.75" customHeight="1" x14ac:dyDescent="0.2">
      <c r="A127" s="378"/>
      <c r="B127" s="247"/>
      <c r="C127" s="89" t="s">
        <v>242</v>
      </c>
      <c r="D127" s="365"/>
      <c r="E127" s="362">
        <v>4.6100000000000003</v>
      </c>
      <c r="F127" s="362"/>
      <c r="G127" s="362"/>
      <c r="H127" s="362"/>
      <c r="I127" s="362"/>
      <c r="J127" s="362"/>
      <c r="K127" s="362">
        <v>4.63</v>
      </c>
      <c r="L127" s="362"/>
      <c r="M127" s="362"/>
      <c r="N127" s="362"/>
      <c r="O127" s="362"/>
      <c r="P127" s="362"/>
      <c r="Q127" s="71">
        <f t="shared" si="15"/>
        <v>4.62</v>
      </c>
      <c r="R127" s="16"/>
      <c r="S127" s="30"/>
      <c r="T127" s="18"/>
      <c r="U127" s="19"/>
      <c r="V127" s="77">
        <v>1</v>
      </c>
      <c r="X127" s="39" t="s">
        <v>149</v>
      </c>
      <c r="Y127" s="35">
        <v>50</v>
      </c>
      <c r="Z127" s="35">
        <v>73</v>
      </c>
      <c r="AA127" s="33"/>
      <c r="AB127" s="35">
        <v>51</v>
      </c>
      <c r="AC127" s="35">
        <v>71</v>
      </c>
    </row>
    <row r="128" spans="1:29" ht="39.75" customHeight="1" x14ac:dyDescent="0.2">
      <c r="A128" s="378"/>
      <c r="B128" s="247"/>
      <c r="C128" s="89" t="s">
        <v>261</v>
      </c>
      <c r="D128" s="365"/>
      <c r="E128" s="362">
        <v>4.57</v>
      </c>
      <c r="F128" s="362"/>
      <c r="G128" s="362"/>
      <c r="H128" s="362"/>
      <c r="I128" s="362"/>
      <c r="J128" s="362"/>
      <c r="K128" s="362">
        <v>4.7</v>
      </c>
      <c r="L128" s="362"/>
      <c r="M128" s="362"/>
      <c r="N128" s="362"/>
      <c r="O128" s="362"/>
      <c r="P128" s="362"/>
      <c r="Q128" s="71">
        <f t="shared" si="15"/>
        <v>4.6349999999999998</v>
      </c>
      <c r="R128" s="16"/>
      <c r="S128" s="30"/>
      <c r="T128" s="18"/>
      <c r="U128" s="19"/>
      <c r="V128" s="77">
        <v>1</v>
      </c>
      <c r="X128" s="39" t="s">
        <v>150</v>
      </c>
      <c r="Y128" s="35">
        <v>61</v>
      </c>
      <c r="Z128" s="35">
        <v>114</v>
      </c>
      <c r="AA128" s="33"/>
      <c r="AB128" s="35">
        <v>60</v>
      </c>
      <c r="AC128" s="35">
        <v>115</v>
      </c>
    </row>
    <row r="129" spans="1:29" ht="39.75" customHeight="1" x14ac:dyDescent="0.2">
      <c r="A129" s="378"/>
      <c r="B129" s="247"/>
      <c r="C129" s="89" t="s">
        <v>243</v>
      </c>
      <c r="D129" s="365"/>
      <c r="E129" s="362">
        <v>4.6100000000000003</v>
      </c>
      <c r="F129" s="362"/>
      <c r="G129" s="362"/>
      <c r="H129" s="362"/>
      <c r="I129" s="362"/>
      <c r="J129" s="362"/>
      <c r="K129" s="362">
        <v>4.68</v>
      </c>
      <c r="L129" s="362"/>
      <c r="M129" s="362"/>
      <c r="N129" s="362"/>
      <c r="O129" s="362"/>
      <c r="P129" s="362"/>
      <c r="Q129" s="71">
        <f t="shared" si="15"/>
        <v>4.6449999999999996</v>
      </c>
      <c r="R129" s="16"/>
      <c r="S129" s="30"/>
      <c r="T129" s="18"/>
      <c r="U129" s="19"/>
      <c r="V129" s="77">
        <v>1</v>
      </c>
      <c r="X129" s="39" t="s">
        <v>151</v>
      </c>
      <c r="Y129" s="35">
        <v>45</v>
      </c>
      <c r="Z129" s="35">
        <v>51</v>
      </c>
      <c r="AA129" s="33"/>
      <c r="AB129" s="35">
        <v>44</v>
      </c>
      <c r="AC129" s="35">
        <v>49</v>
      </c>
    </row>
    <row r="130" spans="1:29" ht="57.75" customHeight="1" x14ac:dyDescent="0.2">
      <c r="A130" s="378"/>
      <c r="B130" s="366" t="s">
        <v>248</v>
      </c>
      <c r="C130" s="89" t="s">
        <v>247</v>
      </c>
      <c r="D130" s="365">
        <v>0.9</v>
      </c>
      <c r="E130" s="386">
        <v>1</v>
      </c>
      <c r="F130" s="386"/>
      <c r="G130" s="386"/>
      <c r="H130" s="386"/>
      <c r="I130" s="386"/>
      <c r="J130" s="386"/>
      <c r="K130" s="260">
        <f>14656/14656</f>
        <v>1</v>
      </c>
      <c r="L130" s="260"/>
      <c r="M130" s="260"/>
      <c r="N130" s="260"/>
      <c r="O130" s="260"/>
      <c r="P130" s="260"/>
      <c r="Q130" s="71">
        <f t="shared" si="15"/>
        <v>1</v>
      </c>
      <c r="R130" s="16"/>
      <c r="S130" s="30"/>
      <c r="T130" s="18"/>
      <c r="U130" s="19"/>
      <c r="V130" s="394">
        <v>1</v>
      </c>
      <c r="X130" s="39" t="s">
        <v>57</v>
      </c>
      <c r="Y130" s="36">
        <f>SUM(Y126:Y129)</f>
        <v>200</v>
      </c>
      <c r="Z130" s="36">
        <f>SUM(Z126:Z129)</f>
        <v>292</v>
      </c>
      <c r="AA130" s="34"/>
      <c r="AB130" s="36">
        <f>SUM(AB126:AB129)</f>
        <v>197</v>
      </c>
      <c r="AC130" s="36">
        <f>SUM(AC126:AC129)</f>
        <v>288</v>
      </c>
    </row>
    <row r="131" spans="1:29" ht="61.5" customHeight="1" x14ac:dyDescent="0.2">
      <c r="A131" s="378"/>
      <c r="B131" s="366"/>
      <c r="C131" s="89" t="s">
        <v>141</v>
      </c>
      <c r="D131" s="365"/>
      <c r="E131" s="372">
        <f>8576/8576</f>
        <v>1</v>
      </c>
      <c r="F131" s="372"/>
      <c r="G131" s="372"/>
      <c r="H131" s="372"/>
      <c r="I131" s="372"/>
      <c r="J131" s="372"/>
      <c r="K131" s="372">
        <f>8576/8576</f>
        <v>1</v>
      </c>
      <c r="L131" s="372"/>
      <c r="M131" s="372"/>
      <c r="N131" s="372"/>
      <c r="O131" s="372"/>
      <c r="P131" s="372"/>
      <c r="Q131" s="71">
        <f t="shared" si="15"/>
        <v>1</v>
      </c>
      <c r="R131" s="16"/>
      <c r="S131" s="30"/>
      <c r="T131" s="18"/>
      <c r="U131" s="19"/>
      <c r="V131" s="392"/>
      <c r="Y131" s="32">
        <f>Y130/Z130</f>
        <v>0.68493150684931503</v>
      </c>
    </row>
    <row r="132" spans="1:29" ht="61.5" customHeight="1" x14ac:dyDescent="0.2">
      <c r="A132" s="378"/>
      <c r="B132" s="366"/>
      <c r="C132" s="89" t="s">
        <v>142</v>
      </c>
      <c r="D132" s="365"/>
      <c r="E132" s="372">
        <v>1</v>
      </c>
      <c r="F132" s="372"/>
      <c r="G132" s="372"/>
      <c r="H132" s="372"/>
      <c r="I132" s="372"/>
      <c r="J132" s="372"/>
      <c r="K132" s="372">
        <f>6580/6580</f>
        <v>1</v>
      </c>
      <c r="L132" s="372"/>
      <c r="M132" s="372"/>
      <c r="N132" s="372"/>
      <c r="O132" s="372"/>
      <c r="P132" s="372"/>
      <c r="Q132" s="71">
        <f t="shared" si="15"/>
        <v>1</v>
      </c>
      <c r="R132" s="16"/>
      <c r="S132" s="30"/>
      <c r="T132" s="18"/>
      <c r="U132" s="19"/>
      <c r="V132" s="392"/>
    </row>
    <row r="133" spans="1:29" ht="54.75" customHeight="1" thickBot="1" x14ac:dyDescent="0.25">
      <c r="A133" s="379"/>
      <c r="B133" s="367"/>
      <c r="C133" s="90" t="s">
        <v>143</v>
      </c>
      <c r="D133" s="368"/>
      <c r="E133" s="373">
        <f>12640/12640</f>
        <v>1</v>
      </c>
      <c r="F133" s="373"/>
      <c r="G133" s="373"/>
      <c r="H133" s="373"/>
      <c r="I133" s="373"/>
      <c r="J133" s="373"/>
      <c r="K133" s="375">
        <f>12480/12480</f>
        <v>1</v>
      </c>
      <c r="L133" s="375"/>
      <c r="M133" s="375"/>
      <c r="N133" s="375"/>
      <c r="O133" s="375"/>
      <c r="P133" s="375"/>
      <c r="Q133" s="159">
        <f t="shared" si="15"/>
        <v>1</v>
      </c>
      <c r="R133" s="130"/>
      <c r="S133" s="160"/>
      <c r="T133" s="78"/>
      <c r="U133" s="79"/>
      <c r="V133" s="395"/>
    </row>
    <row r="134" spans="1:29" ht="81.75" customHeight="1" x14ac:dyDescent="0.2">
      <c r="A134" s="363" t="s">
        <v>104</v>
      </c>
      <c r="B134" s="164" t="s">
        <v>240</v>
      </c>
      <c r="C134" s="93" t="s">
        <v>112</v>
      </c>
      <c r="D134" s="165" t="s">
        <v>132</v>
      </c>
      <c r="E134" s="248">
        <v>0.125</v>
      </c>
      <c r="F134" s="248"/>
      <c r="G134" s="248"/>
      <c r="H134" s="248"/>
      <c r="I134" s="248"/>
      <c r="J134" s="248"/>
      <c r="K134" s="248"/>
      <c r="L134" s="248"/>
      <c r="M134" s="248"/>
      <c r="N134" s="248"/>
      <c r="O134" s="248"/>
      <c r="P134" s="248"/>
      <c r="Q134" s="72">
        <f t="shared" si="15"/>
        <v>0.125</v>
      </c>
      <c r="R134" s="128"/>
      <c r="S134" s="73"/>
      <c r="T134" s="74"/>
      <c r="U134" s="75">
        <v>1</v>
      </c>
      <c r="V134" s="76">
        <v>1</v>
      </c>
      <c r="X134" s="31">
        <f>4.85*4</f>
        <v>19.399999999999999</v>
      </c>
    </row>
    <row r="135" spans="1:29" ht="97.5" customHeight="1" thickBot="1" x14ac:dyDescent="0.25">
      <c r="A135" s="364"/>
      <c r="B135" s="166" t="s">
        <v>239</v>
      </c>
      <c r="C135" s="90" t="s">
        <v>113</v>
      </c>
      <c r="D135" s="167">
        <v>4</v>
      </c>
      <c r="E135" s="283">
        <v>4.58</v>
      </c>
      <c r="F135" s="283"/>
      <c r="G135" s="283"/>
      <c r="H135" s="283"/>
      <c r="I135" s="283"/>
      <c r="J135" s="283"/>
      <c r="K135" s="283">
        <v>4.67</v>
      </c>
      <c r="L135" s="283"/>
      <c r="M135" s="283"/>
      <c r="N135" s="283"/>
      <c r="O135" s="283"/>
      <c r="P135" s="283"/>
      <c r="Q135" s="159">
        <f t="shared" si="15"/>
        <v>4.625</v>
      </c>
      <c r="R135" s="130"/>
      <c r="S135" s="160"/>
      <c r="T135" s="78"/>
      <c r="U135" s="79"/>
      <c r="V135" s="80">
        <v>1</v>
      </c>
    </row>
    <row r="136" spans="1:29" ht="99.75" customHeight="1" x14ac:dyDescent="0.2">
      <c r="A136" s="261" t="s">
        <v>106</v>
      </c>
      <c r="B136" s="161" t="s">
        <v>270</v>
      </c>
      <c r="C136" s="93" t="s">
        <v>129</v>
      </c>
      <c r="D136" s="162">
        <v>0.03</v>
      </c>
      <c r="E136" s="251">
        <f>6/117</f>
        <v>5.128205128205128E-2</v>
      </c>
      <c r="F136" s="251"/>
      <c r="G136" s="251"/>
      <c r="H136" s="251"/>
      <c r="I136" s="251"/>
      <c r="J136" s="251"/>
      <c r="K136" s="251"/>
      <c r="L136" s="251"/>
      <c r="M136" s="251"/>
      <c r="N136" s="251"/>
      <c r="O136" s="251"/>
      <c r="P136" s="251"/>
      <c r="Q136" s="72">
        <f t="shared" si="15"/>
        <v>5.128205128205128E-2</v>
      </c>
      <c r="R136" s="128"/>
      <c r="S136" s="73"/>
      <c r="T136" s="74"/>
      <c r="U136" s="75">
        <v>1</v>
      </c>
      <c r="V136" s="76">
        <v>1</v>
      </c>
    </row>
    <row r="137" spans="1:29" ht="83.25" customHeight="1" thickBot="1" x14ac:dyDescent="0.25">
      <c r="A137" s="262"/>
      <c r="B137" s="157" t="s">
        <v>271</v>
      </c>
      <c r="C137" s="90" t="s">
        <v>111</v>
      </c>
      <c r="D137" s="163">
        <v>0.03</v>
      </c>
      <c r="E137" s="252">
        <f>761/2199</f>
        <v>0.34606639381537063</v>
      </c>
      <c r="F137" s="252"/>
      <c r="G137" s="252"/>
      <c r="H137" s="252"/>
      <c r="I137" s="252"/>
      <c r="J137" s="252"/>
      <c r="K137" s="252"/>
      <c r="L137" s="252"/>
      <c r="M137" s="252"/>
      <c r="N137" s="252"/>
      <c r="O137" s="252"/>
      <c r="P137" s="252"/>
      <c r="Q137" s="159">
        <f t="shared" si="15"/>
        <v>0.34606639381537063</v>
      </c>
      <c r="R137" s="130"/>
      <c r="S137" s="160"/>
      <c r="T137" s="78"/>
      <c r="U137" s="79"/>
      <c r="V137" s="80">
        <v>1</v>
      </c>
      <c r="X137" s="54" t="s">
        <v>147</v>
      </c>
    </row>
    <row r="138" spans="1:29" ht="79.5" customHeight="1" x14ac:dyDescent="0.2">
      <c r="A138" s="369" t="s">
        <v>105</v>
      </c>
      <c r="B138" s="155" t="s">
        <v>258</v>
      </c>
      <c r="C138" s="93" t="s">
        <v>259</v>
      </c>
      <c r="D138" s="156" t="s">
        <v>260</v>
      </c>
      <c r="E138" s="250" t="s">
        <v>260</v>
      </c>
      <c r="F138" s="250"/>
      <c r="G138" s="250"/>
      <c r="H138" s="250"/>
      <c r="I138" s="250"/>
      <c r="J138" s="250"/>
      <c r="K138" s="248">
        <v>4.7199999999999999E-2</v>
      </c>
      <c r="L138" s="253"/>
      <c r="M138" s="253"/>
      <c r="N138" s="253"/>
      <c r="O138" s="253"/>
      <c r="P138" s="253"/>
      <c r="Q138" s="72">
        <f t="shared" si="15"/>
        <v>4.7199999999999999E-2</v>
      </c>
      <c r="R138" s="128"/>
      <c r="S138" s="73"/>
      <c r="T138" s="74"/>
      <c r="U138" s="75">
        <v>1</v>
      </c>
      <c r="V138" s="76">
        <v>1</v>
      </c>
    </row>
    <row r="139" spans="1:29" ht="79.5" customHeight="1" x14ac:dyDescent="0.2">
      <c r="A139" s="370"/>
      <c r="B139" s="43" t="s">
        <v>245</v>
      </c>
      <c r="C139" s="89" t="s">
        <v>246</v>
      </c>
      <c r="D139" s="122">
        <v>0.9</v>
      </c>
      <c r="E139" s="242">
        <v>0.99399999999999999</v>
      </c>
      <c r="F139" s="243"/>
      <c r="G139" s="243"/>
      <c r="H139" s="243"/>
      <c r="I139" s="243"/>
      <c r="J139" s="243"/>
      <c r="K139" s="242">
        <v>0.96430000000000005</v>
      </c>
      <c r="L139" s="243"/>
      <c r="M139" s="243"/>
      <c r="N139" s="243"/>
      <c r="O139" s="243"/>
      <c r="P139" s="243"/>
      <c r="Q139" s="71">
        <f t="shared" si="15"/>
        <v>0.97914999999999996</v>
      </c>
      <c r="R139" s="16"/>
      <c r="S139" s="30"/>
      <c r="T139" s="18"/>
      <c r="U139" s="19"/>
      <c r="V139" s="77">
        <v>1</v>
      </c>
    </row>
    <row r="140" spans="1:29" ht="79.5" customHeight="1" x14ac:dyDescent="0.2">
      <c r="A140" s="370"/>
      <c r="B140" s="43" t="s">
        <v>265</v>
      </c>
      <c r="C140" s="89" t="s">
        <v>266</v>
      </c>
      <c r="D140" s="122">
        <v>1</v>
      </c>
      <c r="E140" s="242">
        <f>87/121</f>
        <v>0.71900826446280997</v>
      </c>
      <c r="F140" s="243"/>
      <c r="G140" s="243"/>
      <c r="H140" s="243"/>
      <c r="I140" s="243"/>
      <c r="J140" s="243"/>
      <c r="K140" s="242">
        <v>0.81820000000000004</v>
      </c>
      <c r="L140" s="243"/>
      <c r="M140" s="243"/>
      <c r="N140" s="243"/>
      <c r="O140" s="243"/>
      <c r="P140" s="243"/>
      <c r="Q140" s="71">
        <f t="shared" si="15"/>
        <v>0.768604132231405</v>
      </c>
      <c r="R140" s="16"/>
      <c r="S140" s="30"/>
      <c r="T140" s="18"/>
      <c r="U140" s="19"/>
      <c r="V140" s="77">
        <v>1</v>
      </c>
    </row>
    <row r="141" spans="1:29" ht="88.5" customHeight="1" x14ac:dyDescent="0.2">
      <c r="A141" s="370"/>
      <c r="B141" s="24" t="s">
        <v>178</v>
      </c>
      <c r="C141" s="89" t="s">
        <v>179</v>
      </c>
      <c r="D141" s="121">
        <v>50</v>
      </c>
      <c r="E141" s="242">
        <f>348/600</f>
        <v>0.57999999999999996</v>
      </c>
      <c r="F141" s="242"/>
      <c r="G141" s="242"/>
      <c r="H141" s="242"/>
      <c r="I141" s="242"/>
      <c r="J141" s="242"/>
      <c r="K141" s="242"/>
      <c r="L141" s="242"/>
      <c r="M141" s="242"/>
      <c r="N141" s="242"/>
      <c r="O141" s="242"/>
      <c r="P141" s="242"/>
      <c r="Q141" s="71">
        <f t="shared" si="15"/>
        <v>0.57999999999999996</v>
      </c>
      <c r="R141" s="16"/>
      <c r="S141" s="30"/>
      <c r="T141" s="18"/>
      <c r="U141" s="19"/>
      <c r="V141" s="77">
        <v>1</v>
      </c>
    </row>
    <row r="142" spans="1:29" ht="108" customHeight="1" x14ac:dyDescent="0.2">
      <c r="A142" s="370"/>
      <c r="B142" s="43" t="s">
        <v>249</v>
      </c>
      <c r="C142" s="89" t="s">
        <v>250</v>
      </c>
      <c r="D142" s="122">
        <v>0.8</v>
      </c>
      <c r="E142" s="242">
        <f>42/43</f>
        <v>0.97674418604651159</v>
      </c>
      <c r="F142" s="243"/>
      <c r="G142" s="243"/>
      <c r="H142" s="243"/>
      <c r="I142" s="243"/>
      <c r="J142" s="243"/>
      <c r="K142" s="242">
        <v>0.92</v>
      </c>
      <c r="L142" s="243"/>
      <c r="M142" s="243"/>
      <c r="N142" s="243"/>
      <c r="O142" s="243"/>
      <c r="P142" s="243"/>
      <c r="Q142" s="71">
        <f t="shared" si="15"/>
        <v>0.94837209302325576</v>
      </c>
      <c r="R142" s="16"/>
      <c r="S142" s="30"/>
      <c r="T142" s="18"/>
      <c r="U142" s="19"/>
      <c r="V142" s="77">
        <v>1</v>
      </c>
    </row>
    <row r="143" spans="1:29" ht="87" customHeight="1" x14ac:dyDescent="0.2">
      <c r="A143" s="370"/>
      <c r="B143" s="28" t="s">
        <v>180</v>
      </c>
      <c r="C143" s="89" t="s">
        <v>181</v>
      </c>
      <c r="D143" s="121">
        <v>70</v>
      </c>
      <c r="E143" s="242">
        <f>325/350</f>
        <v>0.9285714285714286</v>
      </c>
      <c r="F143" s="243"/>
      <c r="G143" s="243"/>
      <c r="H143" s="243"/>
      <c r="I143" s="243"/>
      <c r="J143" s="243"/>
      <c r="K143" s="242">
        <f>275/200</f>
        <v>1.375</v>
      </c>
      <c r="L143" s="243"/>
      <c r="M143" s="243"/>
      <c r="N143" s="243"/>
      <c r="O143" s="243"/>
      <c r="P143" s="243"/>
      <c r="Q143" s="71">
        <f t="shared" si="15"/>
        <v>1.1517857142857144</v>
      </c>
      <c r="R143" s="16"/>
      <c r="S143" s="30"/>
      <c r="T143" s="18"/>
      <c r="U143" s="19"/>
      <c r="V143" s="77">
        <v>1</v>
      </c>
    </row>
    <row r="144" spans="1:29" ht="62.25" customHeight="1" x14ac:dyDescent="0.2">
      <c r="A144" s="370"/>
      <c r="B144" s="28" t="s">
        <v>182</v>
      </c>
      <c r="C144" s="89" t="s">
        <v>183</v>
      </c>
      <c r="D144" s="122">
        <v>0.8</v>
      </c>
      <c r="E144" s="242">
        <f>2/2</f>
        <v>1</v>
      </c>
      <c r="F144" s="243"/>
      <c r="G144" s="243"/>
      <c r="H144" s="243"/>
      <c r="I144" s="243"/>
      <c r="J144" s="243"/>
      <c r="K144" s="242">
        <f>4/4</f>
        <v>1</v>
      </c>
      <c r="L144" s="243"/>
      <c r="M144" s="243"/>
      <c r="N144" s="243"/>
      <c r="O144" s="243"/>
      <c r="P144" s="243"/>
      <c r="Q144" s="71">
        <f t="shared" si="15"/>
        <v>1</v>
      </c>
      <c r="R144" s="16"/>
      <c r="S144" s="30"/>
      <c r="T144" s="18"/>
      <c r="U144" s="19"/>
      <c r="V144" s="77">
        <v>1</v>
      </c>
    </row>
    <row r="145" spans="1:24" ht="62.25" customHeight="1" x14ac:dyDescent="0.2">
      <c r="A145" s="370"/>
      <c r="B145" s="28" t="s">
        <v>185</v>
      </c>
      <c r="C145" s="89" t="s">
        <v>186</v>
      </c>
      <c r="D145" s="122">
        <v>0.8</v>
      </c>
      <c r="E145" s="242">
        <f>194/204</f>
        <v>0.9509803921568627</v>
      </c>
      <c r="F145" s="243"/>
      <c r="G145" s="243"/>
      <c r="H145" s="243"/>
      <c r="I145" s="243"/>
      <c r="J145" s="243"/>
      <c r="K145" s="242">
        <f>193/206</f>
        <v>0.93689320388349517</v>
      </c>
      <c r="L145" s="243"/>
      <c r="M145" s="243"/>
      <c r="N145" s="243"/>
      <c r="O145" s="243"/>
      <c r="P145" s="243"/>
      <c r="Q145" s="71">
        <f t="shared" si="15"/>
        <v>0.94393679802017894</v>
      </c>
      <c r="R145" s="16"/>
      <c r="S145" s="30"/>
      <c r="T145" s="18"/>
      <c r="U145" s="19"/>
      <c r="V145" s="77">
        <v>1</v>
      </c>
    </row>
    <row r="146" spans="1:24" ht="74.25" customHeight="1" thickBot="1" x14ac:dyDescent="0.25">
      <c r="A146" s="371"/>
      <c r="B146" s="157" t="s">
        <v>184</v>
      </c>
      <c r="C146" s="90" t="s">
        <v>187</v>
      </c>
      <c r="D146" s="158">
        <v>0.8</v>
      </c>
      <c r="E146" s="236">
        <f>4/4</f>
        <v>1</v>
      </c>
      <c r="F146" s="237"/>
      <c r="G146" s="237"/>
      <c r="H146" s="237"/>
      <c r="I146" s="237"/>
      <c r="J146" s="237"/>
      <c r="K146" s="236">
        <f>11/11</f>
        <v>1</v>
      </c>
      <c r="L146" s="237"/>
      <c r="M146" s="237"/>
      <c r="N146" s="237"/>
      <c r="O146" s="237"/>
      <c r="P146" s="237"/>
      <c r="Q146" s="159">
        <f t="shared" si="15"/>
        <v>1</v>
      </c>
      <c r="R146" s="130"/>
      <c r="S146" s="160"/>
      <c r="T146" s="78"/>
      <c r="U146" s="79"/>
      <c r="V146" s="80">
        <v>1</v>
      </c>
      <c r="X146" s="54">
        <f>4+2+36+26</f>
        <v>68</v>
      </c>
    </row>
    <row r="147" spans="1:24" ht="105" customHeight="1" x14ac:dyDescent="0.2">
      <c r="A147" s="352" t="s">
        <v>114</v>
      </c>
      <c r="B147" s="254" t="s">
        <v>281</v>
      </c>
      <c r="C147" s="93" t="s">
        <v>115</v>
      </c>
      <c r="D147" s="354">
        <v>0.8</v>
      </c>
      <c r="E147" s="251">
        <v>0.90669999999999995</v>
      </c>
      <c r="F147" s="251"/>
      <c r="G147" s="251"/>
      <c r="H147" s="251"/>
      <c r="I147" s="251"/>
      <c r="J147" s="251"/>
      <c r="K147" s="251"/>
      <c r="L147" s="251"/>
      <c r="M147" s="251"/>
      <c r="N147" s="251"/>
      <c r="O147" s="251"/>
      <c r="P147" s="251"/>
      <c r="Q147" s="244">
        <f t="shared" si="15"/>
        <v>0.90669999999999995</v>
      </c>
      <c r="R147" s="128"/>
      <c r="S147" s="73"/>
      <c r="T147" s="74"/>
      <c r="U147" s="75"/>
      <c r="V147" s="234">
        <v>1</v>
      </c>
    </row>
    <row r="148" spans="1:24" ht="143.25" customHeight="1" thickBot="1" x14ac:dyDescent="0.25">
      <c r="A148" s="353"/>
      <c r="B148" s="255"/>
      <c r="C148" s="90" t="s">
        <v>116</v>
      </c>
      <c r="D148" s="355"/>
      <c r="E148" s="252"/>
      <c r="F148" s="252"/>
      <c r="G148" s="252"/>
      <c r="H148" s="252"/>
      <c r="I148" s="252"/>
      <c r="J148" s="252"/>
      <c r="K148" s="252"/>
      <c r="L148" s="252"/>
      <c r="M148" s="252"/>
      <c r="N148" s="252"/>
      <c r="O148" s="252"/>
      <c r="P148" s="252"/>
      <c r="Q148" s="245"/>
      <c r="R148" s="152"/>
      <c r="S148" s="153"/>
      <c r="T148" s="153"/>
      <c r="U148" s="154"/>
      <c r="V148" s="235"/>
    </row>
    <row r="149" spans="1:24" ht="18" x14ac:dyDescent="0.2">
      <c r="B149" s="8"/>
      <c r="E149" s="26"/>
      <c r="F149" s="26"/>
      <c r="G149" s="26"/>
      <c r="H149" s="26"/>
      <c r="I149" s="26"/>
      <c r="J149" s="26"/>
      <c r="K149" s="26"/>
      <c r="L149" s="26"/>
      <c r="M149" s="26"/>
      <c r="N149" s="26"/>
      <c r="O149" s="26"/>
      <c r="P149" s="26"/>
      <c r="Q149" s="10"/>
      <c r="R149" s="9"/>
      <c r="U149" s="10"/>
      <c r="V149" s="61">
        <f>SUM(V8:V148)</f>
        <v>92</v>
      </c>
    </row>
    <row r="150" spans="1:24" x14ac:dyDescent="0.2">
      <c r="B150" s="8"/>
      <c r="E150" s="26"/>
      <c r="F150" s="26"/>
      <c r="G150" s="26"/>
      <c r="H150" s="26"/>
      <c r="I150" s="26"/>
      <c r="J150" s="26"/>
      <c r="K150" s="26"/>
      <c r="L150" s="26"/>
      <c r="M150" s="26"/>
      <c r="N150" s="26"/>
      <c r="O150" s="26"/>
      <c r="P150" s="26"/>
      <c r="Q150" s="10"/>
      <c r="R150" s="9"/>
      <c r="U150" s="10"/>
    </row>
    <row r="151" spans="1:24" x14ac:dyDescent="0.2">
      <c r="B151" s="8"/>
      <c r="E151" s="26"/>
      <c r="F151" s="26"/>
      <c r="G151" s="26"/>
      <c r="H151" s="26"/>
      <c r="I151" s="26"/>
      <c r="J151" s="26"/>
      <c r="K151" s="26"/>
      <c r="L151" s="26"/>
      <c r="M151" s="26"/>
      <c r="N151" s="26"/>
      <c r="O151" s="26"/>
      <c r="P151" s="26"/>
      <c r="Q151" s="10"/>
      <c r="R151" s="9"/>
      <c r="U151" s="10"/>
      <c r="V151" s="10"/>
    </row>
    <row r="152" spans="1:24" x14ac:dyDescent="0.2">
      <c r="B152" s="8"/>
      <c r="E152" s="26"/>
      <c r="F152" s="26"/>
      <c r="G152" s="26"/>
      <c r="H152" s="26"/>
      <c r="I152" s="26"/>
      <c r="J152" s="26"/>
      <c r="K152" s="26"/>
      <c r="L152" s="26"/>
      <c r="M152" s="26"/>
      <c r="N152" s="26"/>
      <c r="O152" s="26"/>
      <c r="P152" s="26"/>
      <c r="Q152" s="10"/>
      <c r="R152" s="9"/>
      <c r="U152" s="10"/>
      <c r="V152" s="10"/>
    </row>
    <row r="153" spans="1:24" ht="105" customHeight="1" x14ac:dyDescent="0.2">
      <c r="B153" s="8"/>
      <c r="C153" s="231" t="s">
        <v>147</v>
      </c>
      <c r="E153" s="26"/>
      <c r="F153" s="26"/>
      <c r="G153" s="26"/>
      <c r="H153" s="26"/>
      <c r="I153" s="26"/>
      <c r="J153" s="26"/>
      <c r="K153" s="26"/>
      <c r="L153" s="26"/>
      <c r="M153" s="26"/>
      <c r="N153" s="26"/>
      <c r="O153" s="26"/>
      <c r="P153" s="26"/>
      <c r="Q153" s="10"/>
      <c r="R153" s="9"/>
      <c r="U153" s="10"/>
      <c r="V153" s="10"/>
    </row>
    <row r="154" spans="1:24" x14ac:dyDescent="0.2">
      <c r="B154" s="8"/>
      <c r="E154" s="26"/>
      <c r="F154" s="26"/>
      <c r="G154" s="26"/>
      <c r="H154" s="26"/>
      <c r="I154" s="26"/>
      <c r="J154" s="26"/>
      <c r="K154" s="26"/>
      <c r="L154" s="26"/>
      <c r="M154" s="26"/>
      <c r="N154" s="26"/>
      <c r="O154" s="26"/>
      <c r="P154" s="26"/>
      <c r="Q154" s="10"/>
      <c r="R154" s="9"/>
      <c r="U154" s="10"/>
      <c r="V154" s="10"/>
    </row>
    <row r="155" spans="1:24" x14ac:dyDescent="0.2">
      <c r="B155" s="8"/>
      <c r="E155" s="26"/>
      <c r="F155" s="26"/>
      <c r="G155" s="26"/>
      <c r="H155" s="26"/>
      <c r="I155" s="26"/>
      <c r="J155" s="26"/>
      <c r="K155" s="26"/>
      <c r="L155" s="26"/>
      <c r="M155" s="26"/>
      <c r="N155" s="26"/>
      <c r="O155" s="26"/>
      <c r="P155" s="26"/>
      <c r="Q155" s="10"/>
      <c r="R155" s="9"/>
      <c r="U155" s="10"/>
      <c r="V155" s="10"/>
    </row>
    <row r="156" spans="1:24" x14ac:dyDescent="0.2">
      <c r="B156" s="8"/>
      <c r="E156" s="26"/>
      <c r="F156" s="26"/>
      <c r="G156" s="26"/>
      <c r="H156" s="26"/>
      <c r="I156" s="26"/>
      <c r="J156" s="26"/>
      <c r="K156" s="26"/>
      <c r="L156" s="26"/>
      <c r="M156" s="26"/>
      <c r="N156" s="26"/>
      <c r="O156" s="26"/>
      <c r="P156" s="26"/>
      <c r="Q156" s="10"/>
      <c r="R156" s="9"/>
      <c r="U156" s="10"/>
      <c r="V156" s="10"/>
    </row>
    <row r="157" spans="1:24" x14ac:dyDescent="0.2">
      <c r="B157" s="8"/>
      <c r="E157" s="26"/>
      <c r="F157" s="26"/>
      <c r="G157" s="26"/>
      <c r="H157" s="26"/>
      <c r="I157" s="26"/>
      <c r="J157" s="26"/>
      <c r="K157" s="26"/>
      <c r="L157" s="26"/>
      <c r="M157" s="26"/>
      <c r="N157" s="26"/>
      <c r="O157" s="26"/>
      <c r="P157" s="26"/>
      <c r="Q157" s="10"/>
      <c r="R157" s="9"/>
      <c r="U157" s="10"/>
      <c r="V157" s="10"/>
    </row>
    <row r="158" spans="1:24" x14ac:dyDescent="0.2">
      <c r="B158" s="8"/>
      <c r="E158" s="26"/>
      <c r="F158" s="26"/>
      <c r="G158" s="26"/>
      <c r="H158" s="26"/>
      <c r="I158" s="26"/>
      <c r="J158" s="26"/>
      <c r="K158" s="26"/>
      <c r="L158" s="26"/>
      <c r="M158" s="26"/>
      <c r="N158" s="26"/>
      <c r="O158" s="26"/>
      <c r="P158" s="26"/>
      <c r="Q158" s="10"/>
      <c r="R158" s="9"/>
      <c r="U158" s="10"/>
      <c r="V158" s="10"/>
    </row>
    <row r="159" spans="1:24" x14ac:dyDescent="0.2">
      <c r="B159" s="8"/>
      <c r="E159" s="26"/>
      <c r="F159" s="26"/>
      <c r="G159" s="26"/>
      <c r="H159" s="26"/>
      <c r="I159" s="26"/>
      <c r="J159" s="26"/>
      <c r="K159" s="26"/>
      <c r="L159" s="26"/>
      <c r="M159" s="26"/>
      <c r="N159" s="26"/>
      <c r="O159" s="26"/>
      <c r="P159" s="26"/>
      <c r="Q159" s="10"/>
      <c r="R159" s="9"/>
      <c r="U159" s="10"/>
      <c r="V159" s="10"/>
    </row>
    <row r="160" spans="1:24" x14ac:dyDescent="0.2">
      <c r="B160" s="8"/>
      <c r="E160" s="26"/>
      <c r="F160" s="26"/>
      <c r="G160" s="26"/>
      <c r="H160" s="26"/>
      <c r="I160" s="26"/>
      <c r="J160" s="26"/>
      <c r="K160" s="26"/>
      <c r="L160" s="26"/>
      <c r="M160" s="26"/>
      <c r="N160" s="26"/>
      <c r="O160" s="26"/>
      <c r="P160" s="26"/>
      <c r="Q160" s="10"/>
      <c r="R160" s="9"/>
      <c r="U160" s="10"/>
      <c r="V160" s="10"/>
    </row>
    <row r="161" spans="2:22" x14ac:dyDescent="0.2">
      <c r="B161" s="8"/>
      <c r="E161" s="26"/>
      <c r="F161" s="26"/>
      <c r="G161" s="26"/>
      <c r="H161" s="26"/>
      <c r="I161" s="26"/>
      <c r="J161" s="26"/>
      <c r="K161" s="26"/>
      <c r="L161" s="26"/>
      <c r="M161" s="26"/>
      <c r="N161" s="26"/>
      <c r="O161" s="26"/>
      <c r="P161" s="26"/>
      <c r="Q161" s="10"/>
      <c r="R161" s="9"/>
      <c r="U161" s="10"/>
      <c r="V161" s="10"/>
    </row>
    <row r="162" spans="2:22" x14ac:dyDescent="0.2">
      <c r="B162" s="8"/>
      <c r="E162" s="26"/>
      <c r="F162" s="26"/>
      <c r="G162" s="26"/>
      <c r="H162" s="26"/>
      <c r="I162" s="26"/>
      <c r="J162" s="26"/>
      <c r="K162" s="26"/>
      <c r="L162" s="26"/>
      <c r="M162" s="26"/>
      <c r="N162" s="26"/>
      <c r="O162" s="26"/>
      <c r="P162" s="26"/>
      <c r="Q162" s="10"/>
      <c r="R162" s="9"/>
      <c r="U162" s="10"/>
      <c r="V162" s="10"/>
    </row>
    <row r="163" spans="2:22" x14ac:dyDescent="0.2">
      <c r="B163" s="8"/>
      <c r="E163" s="26"/>
      <c r="F163" s="26"/>
      <c r="G163" s="26"/>
      <c r="H163" s="26"/>
      <c r="I163" s="26"/>
      <c r="J163" s="26"/>
      <c r="K163" s="26"/>
      <c r="L163" s="26"/>
      <c r="M163" s="26"/>
      <c r="N163" s="26"/>
      <c r="O163" s="26"/>
      <c r="P163" s="26"/>
      <c r="Q163" s="10"/>
      <c r="R163" s="9"/>
      <c r="U163" s="10"/>
      <c r="V163" s="10"/>
    </row>
    <row r="164" spans="2:22" x14ac:dyDescent="0.2">
      <c r="B164" s="8"/>
      <c r="E164" s="26"/>
      <c r="F164" s="26"/>
      <c r="G164" s="26"/>
      <c r="H164" s="26"/>
      <c r="I164" s="26"/>
      <c r="J164" s="26"/>
      <c r="K164" s="26"/>
      <c r="L164" s="26"/>
      <c r="M164" s="26"/>
      <c r="N164" s="26"/>
      <c r="O164" s="26"/>
      <c r="P164" s="26"/>
      <c r="Q164" s="10"/>
      <c r="R164" s="9"/>
      <c r="U164" s="10"/>
      <c r="V164" s="10"/>
    </row>
    <row r="165" spans="2:22" x14ac:dyDescent="0.2">
      <c r="B165" s="8"/>
      <c r="E165" s="26"/>
      <c r="F165" s="26"/>
      <c r="G165" s="26"/>
      <c r="H165" s="26"/>
      <c r="I165" s="26"/>
      <c r="J165" s="26"/>
      <c r="K165" s="26"/>
      <c r="L165" s="26"/>
      <c r="M165" s="26"/>
      <c r="N165" s="26"/>
      <c r="O165" s="26"/>
      <c r="P165" s="26"/>
      <c r="Q165" s="10"/>
      <c r="R165" s="9"/>
      <c r="U165" s="10"/>
      <c r="V165" s="10"/>
    </row>
    <row r="166" spans="2:22" x14ac:dyDescent="0.2">
      <c r="B166" s="8"/>
      <c r="E166" s="26"/>
      <c r="F166" s="26"/>
      <c r="G166" s="26"/>
      <c r="H166" s="26"/>
      <c r="I166" s="26"/>
      <c r="J166" s="26"/>
      <c r="K166" s="26"/>
      <c r="L166" s="26"/>
      <c r="M166" s="26"/>
      <c r="N166" s="26"/>
      <c r="O166" s="26"/>
      <c r="P166" s="26"/>
      <c r="Q166" s="10"/>
      <c r="R166" s="9"/>
      <c r="U166" s="10"/>
      <c r="V166" s="10"/>
    </row>
    <row r="167" spans="2:22" x14ac:dyDescent="0.2">
      <c r="B167" s="8"/>
      <c r="E167" s="26"/>
      <c r="F167" s="26"/>
      <c r="G167" s="26"/>
      <c r="H167" s="26"/>
      <c r="I167" s="26"/>
      <c r="J167" s="26"/>
      <c r="K167" s="26"/>
      <c r="L167" s="26"/>
      <c r="M167" s="26"/>
      <c r="N167" s="26"/>
      <c r="O167" s="26"/>
      <c r="P167" s="26"/>
      <c r="Q167" s="10"/>
      <c r="R167" s="9"/>
      <c r="U167" s="10"/>
      <c r="V167" s="10"/>
    </row>
    <row r="168" spans="2:22" x14ac:dyDescent="0.2">
      <c r="B168" s="8"/>
      <c r="E168" s="26"/>
      <c r="F168" s="26"/>
      <c r="G168" s="26"/>
      <c r="H168" s="26"/>
      <c r="I168" s="26"/>
      <c r="J168" s="26"/>
      <c r="K168" s="26"/>
      <c r="L168" s="26"/>
      <c r="M168" s="26"/>
      <c r="N168" s="26"/>
      <c r="O168" s="26"/>
      <c r="P168" s="26"/>
      <c r="Q168" s="10"/>
      <c r="R168" s="9"/>
      <c r="U168" s="10"/>
      <c r="V168" s="10"/>
    </row>
    <row r="169" spans="2:22" x14ac:dyDescent="0.2">
      <c r="B169" s="8"/>
      <c r="E169" s="26"/>
      <c r="F169" s="26"/>
      <c r="G169" s="26"/>
      <c r="H169" s="26"/>
      <c r="I169" s="26"/>
      <c r="J169" s="26"/>
      <c r="K169" s="26"/>
      <c r="L169" s="26"/>
      <c r="M169" s="26"/>
      <c r="N169" s="26"/>
      <c r="O169" s="26"/>
      <c r="P169" s="26"/>
      <c r="Q169" s="10"/>
      <c r="R169" s="9"/>
      <c r="U169" s="10"/>
      <c r="V169" s="10"/>
    </row>
    <row r="170" spans="2:22" x14ac:dyDescent="0.2">
      <c r="B170" s="8"/>
      <c r="E170" s="26"/>
      <c r="F170" s="26"/>
      <c r="G170" s="26"/>
      <c r="H170" s="26"/>
      <c r="I170" s="26"/>
      <c r="J170" s="26"/>
      <c r="K170" s="26"/>
      <c r="L170" s="26"/>
      <c r="M170" s="26"/>
      <c r="N170" s="26"/>
      <c r="O170" s="26"/>
      <c r="P170" s="26"/>
      <c r="Q170" s="10"/>
      <c r="R170" s="9"/>
      <c r="U170" s="10"/>
      <c r="V170" s="10"/>
    </row>
    <row r="171" spans="2:22" x14ac:dyDescent="0.2">
      <c r="B171" s="8"/>
      <c r="E171" s="26"/>
      <c r="F171" s="26"/>
      <c r="G171" s="26"/>
      <c r="H171" s="26"/>
      <c r="I171" s="26"/>
      <c r="J171" s="26"/>
      <c r="K171" s="26"/>
      <c r="L171" s="26"/>
      <c r="M171" s="26"/>
      <c r="N171" s="26"/>
      <c r="O171" s="26"/>
      <c r="P171" s="26"/>
      <c r="Q171" s="10"/>
      <c r="R171" s="9"/>
      <c r="U171" s="10"/>
      <c r="V171" s="10"/>
    </row>
    <row r="172" spans="2:22" x14ac:dyDescent="0.2">
      <c r="B172" s="8"/>
      <c r="E172" s="26"/>
      <c r="F172" s="26"/>
      <c r="G172" s="26"/>
      <c r="H172" s="26"/>
      <c r="I172" s="26"/>
      <c r="J172" s="26"/>
      <c r="K172" s="26"/>
      <c r="L172" s="26"/>
      <c r="M172" s="26"/>
      <c r="N172" s="26"/>
      <c r="O172" s="26"/>
      <c r="P172" s="26"/>
      <c r="Q172" s="10"/>
      <c r="R172" s="9"/>
      <c r="U172" s="10"/>
      <c r="V172" s="10"/>
    </row>
    <row r="173" spans="2:22" x14ac:dyDescent="0.2">
      <c r="B173" s="8"/>
      <c r="E173" s="26"/>
      <c r="F173" s="26"/>
      <c r="G173" s="26"/>
      <c r="H173" s="26"/>
      <c r="I173" s="26"/>
      <c r="J173" s="26"/>
      <c r="K173" s="26"/>
      <c r="L173" s="26"/>
      <c r="M173" s="26"/>
      <c r="N173" s="26"/>
      <c r="O173" s="26"/>
      <c r="P173" s="26"/>
      <c r="Q173" s="10"/>
      <c r="R173" s="9"/>
      <c r="U173" s="10"/>
      <c r="V173" s="10"/>
    </row>
    <row r="174" spans="2:22" x14ac:dyDescent="0.2">
      <c r="B174" s="8"/>
      <c r="E174" s="26"/>
      <c r="F174" s="26"/>
      <c r="G174" s="26"/>
      <c r="H174" s="26"/>
      <c r="I174" s="26"/>
      <c r="J174" s="26"/>
      <c r="K174" s="26"/>
      <c r="L174" s="26"/>
      <c r="M174" s="26"/>
      <c r="N174" s="26"/>
      <c r="O174" s="26"/>
      <c r="P174" s="26"/>
      <c r="Q174" s="10"/>
      <c r="R174" s="9"/>
      <c r="U174" s="10"/>
      <c r="V174" s="10"/>
    </row>
    <row r="175" spans="2:22" x14ac:dyDescent="0.2">
      <c r="B175" s="8"/>
      <c r="E175" s="26"/>
      <c r="F175" s="26"/>
      <c r="G175" s="26"/>
      <c r="H175" s="26"/>
      <c r="I175" s="26"/>
      <c r="J175" s="26"/>
      <c r="K175" s="26"/>
      <c r="L175" s="26"/>
      <c r="M175" s="26"/>
      <c r="N175" s="26"/>
      <c r="O175" s="26"/>
      <c r="P175" s="26"/>
      <c r="Q175" s="10"/>
      <c r="R175" s="9"/>
      <c r="U175" s="10"/>
      <c r="V175" s="10"/>
    </row>
    <row r="176" spans="2:22" x14ac:dyDescent="0.2">
      <c r="B176" s="8"/>
      <c r="E176" s="26"/>
      <c r="F176" s="26"/>
      <c r="G176" s="26"/>
      <c r="H176" s="26"/>
      <c r="I176" s="26"/>
      <c r="J176" s="26"/>
      <c r="K176" s="26"/>
      <c r="L176" s="26"/>
      <c r="M176" s="26"/>
      <c r="N176" s="26"/>
      <c r="O176" s="26"/>
      <c r="P176" s="26"/>
      <c r="Q176" s="10"/>
      <c r="R176" s="9"/>
      <c r="U176" s="10"/>
      <c r="V176" s="10"/>
    </row>
    <row r="177" spans="2:22" x14ac:dyDescent="0.2">
      <c r="B177" s="8"/>
      <c r="E177" s="26"/>
      <c r="F177" s="26"/>
      <c r="G177" s="26"/>
      <c r="H177" s="26"/>
      <c r="I177" s="26"/>
      <c r="J177" s="26"/>
      <c r="K177" s="26"/>
      <c r="L177" s="26"/>
      <c r="M177" s="26"/>
      <c r="N177" s="26"/>
      <c r="O177" s="26"/>
      <c r="P177" s="26"/>
      <c r="Q177" s="10"/>
      <c r="R177" s="9"/>
      <c r="U177" s="10"/>
      <c r="V177" s="10"/>
    </row>
    <row r="178" spans="2:22" x14ac:dyDescent="0.2">
      <c r="B178" s="8"/>
      <c r="E178" s="26"/>
      <c r="F178" s="26"/>
      <c r="G178" s="26"/>
      <c r="H178" s="26"/>
      <c r="I178" s="26"/>
      <c r="J178" s="26"/>
      <c r="K178" s="26"/>
      <c r="L178" s="26"/>
      <c r="M178" s="26"/>
      <c r="N178" s="26"/>
      <c r="O178" s="26"/>
      <c r="P178" s="26"/>
      <c r="Q178" s="10"/>
      <c r="R178" s="9"/>
      <c r="U178" s="10"/>
      <c r="V178" s="10"/>
    </row>
    <row r="179" spans="2:22" x14ac:dyDescent="0.2">
      <c r="B179" s="8"/>
      <c r="E179" s="26"/>
      <c r="F179" s="26"/>
      <c r="G179" s="26"/>
      <c r="H179" s="26"/>
      <c r="I179" s="26"/>
      <c r="J179" s="26"/>
      <c r="K179" s="26"/>
      <c r="L179" s="26"/>
      <c r="M179" s="26"/>
      <c r="N179" s="26"/>
      <c r="O179" s="26"/>
      <c r="P179" s="26"/>
      <c r="Q179" s="10"/>
      <c r="R179" s="9"/>
      <c r="U179" s="10"/>
      <c r="V179" s="10"/>
    </row>
    <row r="180" spans="2:22" x14ac:dyDescent="0.2">
      <c r="B180" s="8"/>
      <c r="E180" s="26"/>
      <c r="F180" s="26"/>
      <c r="G180" s="26"/>
      <c r="H180" s="26"/>
      <c r="I180" s="26"/>
      <c r="J180" s="26"/>
      <c r="K180" s="26"/>
      <c r="L180" s="26"/>
      <c r="M180" s="26"/>
      <c r="N180" s="26"/>
      <c r="O180" s="26"/>
      <c r="P180" s="26"/>
      <c r="Q180" s="10"/>
      <c r="R180" s="9"/>
      <c r="U180" s="10"/>
      <c r="V180" s="10"/>
    </row>
    <row r="181" spans="2:22" x14ac:dyDescent="0.2">
      <c r="B181" s="8"/>
      <c r="E181" s="26"/>
      <c r="F181" s="26"/>
      <c r="G181" s="26"/>
      <c r="H181" s="26"/>
      <c r="I181" s="26"/>
      <c r="J181" s="26"/>
      <c r="K181" s="26"/>
      <c r="L181" s="26"/>
      <c r="M181" s="26"/>
      <c r="N181" s="26"/>
      <c r="O181" s="26"/>
      <c r="P181" s="26"/>
      <c r="Q181" s="10"/>
      <c r="R181" s="9"/>
      <c r="U181" s="10"/>
      <c r="V181" s="10"/>
    </row>
    <row r="182" spans="2:22" x14ac:dyDescent="0.2">
      <c r="B182" s="8"/>
      <c r="E182" s="26"/>
      <c r="F182" s="26"/>
      <c r="G182" s="26"/>
      <c r="H182" s="26"/>
      <c r="I182" s="26"/>
      <c r="J182" s="26"/>
      <c r="K182" s="26"/>
      <c r="L182" s="26"/>
      <c r="M182" s="26"/>
      <c r="N182" s="26"/>
      <c r="O182" s="26"/>
      <c r="P182" s="26"/>
      <c r="Q182" s="10"/>
      <c r="R182" s="9"/>
      <c r="U182" s="10"/>
      <c r="V182" s="10"/>
    </row>
    <row r="183" spans="2:22" x14ac:dyDescent="0.2">
      <c r="B183" s="8"/>
      <c r="E183" s="26"/>
      <c r="F183" s="26"/>
      <c r="G183" s="26"/>
      <c r="H183" s="26"/>
      <c r="I183" s="26"/>
      <c r="J183" s="26"/>
      <c r="K183" s="26"/>
      <c r="L183" s="26"/>
      <c r="M183" s="26"/>
      <c r="N183" s="26"/>
      <c r="O183" s="26"/>
      <c r="P183" s="26"/>
      <c r="Q183" s="10"/>
      <c r="R183" s="9"/>
      <c r="U183" s="10"/>
      <c r="V183" s="10"/>
    </row>
    <row r="184" spans="2:22" x14ac:dyDescent="0.2">
      <c r="B184" s="8"/>
      <c r="E184" s="26"/>
      <c r="F184" s="26"/>
      <c r="G184" s="26"/>
      <c r="H184" s="26"/>
      <c r="I184" s="26"/>
      <c r="J184" s="26"/>
      <c r="K184" s="26"/>
      <c r="L184" s="26"/>
      <c r="M184" s="26"/>
      <c r="N184" s="26"/>
      <c r="O184" s="26"/>
      <c r="P184" s="26"/>
      <c r="Q184" s="10"/>
      <c r="R184" s="9"/>
      <c r="U184" s="10"/>
      <c r="V184" s="10"/>
    </row>
    <row r="185" spans="2:22" x14ac:dyDescent="0.2">
      <c r="B185" s="8"/>
      <c r="E185" s="26"/>
      <c r="F185" s="26"/>
      <c r="G185" s="26"/>
      <c r="H185" s="26"/>
      <c r="I185" s="26"/>
      <c r="J185" s="26"/>
      <c r="K185" s="26"/>
      <c r="L185" s="26"/>
      <c r="M185" s="26"/>
      <c r="N185" s="26"/>
      <c r="O185" s="26"/>
      <c r="P185" s="26"/>
      <c r="Q185" s="10"/>
      <c r="R185" s="9"/>
      <c r="U185" s="10"/>
      <c r="V185" s="10"/>
    </row>
    <row r="186" spans="2:22" x14ac:dyDescent="0.2">
      <c r="B186" s="8"/>
      <c r="E186" s="26"/>
      <c r="F186" s="26"/>
      <c r="G186" s="26"/>
      <c r="H186" s="26"/>
      <c r="I186" s="26"/>
      <c r="J186" s="26"/>
      <c r="K186" s="26"/>
      <c r="L186" s="26"/>
      <c r="M186" s="26"/>
      <c r="N186" s="26"/>
      <c r="O186" s="26"/>
      <c r="P186" s="26"/>
      <c r="Q186" s="10"/>
      <c r="R186" s="9"/>
      <c r="U186" s="10"/>
      <c r="V186" s="10"/>
    </row>
    <row r="187" spans="2:22" x14ac:dyDescent="0.2">
      <c r="B187" s="8"/>
      <c r="E187" s="26"/>
      <c r="F187" s="26"/>
      <c r="G187" s="26"/>
      <c r="H187" s="26"/>
      <c r="I187" s="26"/>
      <c r="J187" s="26"/>
      <c r="K187" s="26"/>
      <c r="L187" s="26"/>
      <c r="M187" s="26"/>
      <c r="N187" s="26"/>
      <c r="O187" s="26"/>
      <c r="P187" s="26"/>
      <c r="Q187" s="10"/>
      <c r="R187" s="9"/>
      <c r="U187" s="10"/>
      <c r="V187" s="10"/>
    </row>
    <row r="188" spans="2:22" x14ac:dyDescent="0.2">
      <c r="B188" s="8"/>
      <c r="E188" s="26"/>
      <c r="F188" s="26"/>
      <c r="G188" s="26"/>
      <c r="H188" s="26"/>
      <c r="I188" s="26"/>
      <c r="J188" s="26"/>
      <c r="K188" s="26"/>
      <c r="L188" s="26"/>
      <c r="M188" s="26"/>
      <c r="N188" s="26"/>
      <c r="O188" s="26"/>
      <c r="P188" s="26"/>
      <c r="Q188" s="10"/>
      <c r="R188" s="9"/>
      <c r="U188" s="10"/>
      <c r="V188" s="10"/>
    </row>
    <row r="189" spans="2:22" x14ac:dyDescent="0.2">
      <c r="B189" s="8"/>
      <c r="E189" s="26"/>
      <c r="F189" s="26"/>
      <c r="G189" s="26"/>
      <c r="H189" s="26"/>
      <c r="I189" s="26"/>
      <c r="J189" s="26"/>
      <c r="K189" s="26"/>
      <c r="L189" s="26"/>
      <c r="M189" s="26"/>
      <c r="N189" s="26"/>
      <c r="O189" s="26"/>
      <c r="P189" s="26"/>
      <c r="Q189" s="10"/>
      <c r="R189" s="9"/>
      <c r="U189" s="10"/>
      <c r="V189" s="10"/>
    </row>
    <row r="190" spans="2:22" x14ac:dyDescent="0.2">
      <c r="B190" s="8"/>
      <c r="E190" s="26"/>
      <c r="F190" s="26"/>
      <c r="G190" s="26"/>
      <c r="H190" s="26"/>
      <c r="I190" s="26"/>
      <c r="J190" s="26"/>
      <c r="K190" s="26"/>
      <c r="L190" s="26"/>
      <c r="M190" s="26"/>
      <c r="N190" s="26"/>
      <c r="O190" s="26"/>
      <c r="P190" s="26"/>
      <c r="Q190" s="10"/>
      <c r="R190" s="9"/>
      <c r="U190" s="10"/>
      <c r="V190" s="10"/>
    </row>
    <row r="191" spans="2:22" x14ac:dyDescent="0.2">
      <c r="B191" s="8"/>
      <c r="E191" s="26"/>
      <c r="F191" s="26"/>
      <c r="G191" s="26"/>
      <c r="H191" s="26"/>
      <c r="I191" s="26"/>
      <c r="J191" s="26"/>
      <c r="K191" s="26"/>
      <c r="L191" s="26"/>
      <c r="M191" s="26"/>
      <c r="N191" s="26"/>
      <c r="O191" s="26"/>
      <c r="P191" s="26"/>
      <c r="Q191" s="10"/>
      <c r="R191" s="9"/>
      <c r="U191" s="10"/>
      <c r="V191" s="10"/>
    </row>
    <row r="192" spans="2:22" x14ac:dyDescent="0.2">
      <c r="B192" s="8"/>
      <c r="E192" s="26"/>
      <c r="F192" s="26"/>
      <c r="G192" s="26"/>
      <c r="H192" s="26"/>
      <c r="I192" s="26"/>
      <c r="J192" s="26"/>
      <c r="K192" s="26"/>
      <c r="L192" s="26"/>
      <c r="M192" s="26"/>
      <c r="N192" s="26"/>
      <c r="O192" s="26"/>
      <c r="P192" s="26"/>
      <c r="Q192" s="10"/>
      <c r="R192" s="9"/>
      <c r="U192" s="10"/>
      <c r="V192" s="10"/>
    </row>
    <row r="193" spans="2:22" x14ac:dyDescent="0.2">
      <c r="B193" s="8"/>
      <c r="E193" s="26"/>
      <c r="F193" s="26"/>
      <c r="G193" s="26"/>
      <c r="H193" s="26"/>
      <c r="I193" s="26"/>
      <c r="J193" s="26"/>
      <c r="K193" s="26"/>
      <c r="L193" s="26"/>
      <c r="M193" s="26"/>
      <c r="N193" s="26"/>
      <c r="O193" s="26"/>
      <c r="P193" s="26"/>
      <c r="Q193" s="10"/>
      <c r="R193" s="9"/>
      <c r="U193" s="10"/>
      <c r="V193" s="10"/>
    </row>
    <row r="194" spans="2:22" x14ac:dyDescent="0.2">
      <c r="B194" s="8"/>
      <c r="E194" s="26"/>
      <c r="F194" s="26"/>
      <c r="G194" s="26"/>
      <c r="H194" s="26"/>
      <c r="I194" s="26"/>
      <c r="J194" s="26"/>
      <c r="K194" s="26"/>
      <c r="L194" s="26"/>
      <c r="M194" s="26"/>
      <c r="N194" s="26"/>
      <c r="O194" s="26"/>
      <c r="P194" s="26"/>
      <c r="Q194" s="10"/>
      <c r="R194" s="9"/>
      <c r="U194" s="10"/>
      <c r="V194" s="10"/>
    </row>
    <row r="195" spans="2:22" x14ac:dyDescent="0.2">
      <c r="B195" s="8"/>
      <c r="E195" s="26"/>
      <c r="F195" s="26"/>
      <c r="G195" s="26"/>
      <c r="H195" s="26"/>
      <c r="I195" s="26"/>
      <c r="J195" s="26"/>
      <c r="K195" s="26"/>
      <c r="L195" s="26"/>
      <c r="M195" s="26"/>
      <c r="N195" s="26"/>
      <c r="O195" s="26"/>
      <c r="P195" s="26"/>
      <c r="Q195" s="10"/>
      <c r="R195" s="9"/>
      <c r="U195" s="10"/>
      <c r="V195" s="10"/>
    </row>
    <row r="196" spans="2:22" x14ac:dyDescent="0.2">
      <c r="B196" s="8"/>
      <c r="E196" s="26"/>
      <c r="F196" s="26"/>
      <c r="G196" s="26"/>
      <c r="H196" s="26"/>
      <c r="I196" s="26"/>
      <c r="J196" s="26"/>
      <c r="K196" s="26"/>
      <c r="L196" s="26"/>
      <c r="M196" s="26"/>
      <c r="N196" s="26"/>
      <c r="O196" s="26"/>
      <c r="P196" s="26"/>
      <c r="Q196" s="10"/>
      <c r="R196" s="9"/>
      <c r="U196" s="10"/>
      <c r="V196" s="10"/>
    </row>
    <row r="197" spans="2:22" x14ac:dyDescent="0.2">
      <c r="B197" s="8"/>
      <c r="E197" s="26"/>
      <c r="F197" s="26"/>
      <c r="G197" s="26"/>
      <c r="H197" s="26"/>
      <c r="I197" s="26"/>
      <c r="J197" s="26"/>
      <c r="K197" s="26"/>
      <c r="L197" s="26"/>
      <c r="M197" s="26"/>
      <c r="N197" s="26"/>
      <c r="O197" s="26"/>
      <c r="P197" s="26"/>
      <c r="Q197" s="10"/>
      <c r="R197" s="9"/>
      <c r="U197" s="10"/>
      <c r="V197" s="10"/>
    </row>
    <row r="198" spans="2:22" x14ac:dyDescent="0.2">
      <c r="B198" s="8"/>
      <c r="E198" s="26"/>
      <c r="F198" s="26"/>
      <c r="G198" s="26"/>
      <c r="H198" s="26"/>
      <c r="I198" s="26"/>
      <c r="J198" s="26"/>
      <c r="K198" s="26"/>
      <c r="L198" s="26"/>
      <c r="M198" s="26"/>
      <c r="N198" s="26"/>
      <c r="O198" s="26"/>
      <c r="P198" s="26"/>
      <c r="Q198" s="10"/>
      <c r="R198" s="9"/>
      <c r="U198" s="10"/>
      <c r="V198" s="10"/>
    </row>
    <row r="199" spans="2:22" x14ac:dyDescent="0.2">
      <c r="B199" s="8"/>
      <c r="E199" s="26"/>
      <c r="F199" s="26"/>
      <c r="G199" s="26"/>
      <c r="H199" s="26"/>
      <c r="I199" s="26"/>
      <c r="J199" s="26"/>
      <c r="K199" s="26"/>
      <c r="L199" s="26"/>
      <c r="M199" s="26"/>
      <c r="N199" s="26"/>
      <c r="O199" s="26"/>
      <c r="P199" s="26"/>
      <c r="Q199" s="10"/>
      <c r="R199" s="9"/>
      <c r="U199" s="10"/>
      <c r="V199" s="10"/>
    </row>
    <row r="200" spans="2:22" x14ac:dyDescent="0.2">
      <c r="B200" s="8"/>
      <c r="E200" s="26"/>
      <c r="F200" s="26"/>
      <c r="G200" s="26"/>
      <c r="H200" s="26"/>
      <c r="I200" s="26"/>
      <c r="J200" s="26"/>
      <c r="K200" s="26"/>
      <c r="L200" s="26"/>
      <c r="M200" s="26"/>
      <c r="N200" s="26"/>
      <c r="O200" s="26"/>
      <c r="P200" s="26"/>
      <c r="Q200" s="10"/>
      <c r="R200" s="9"/>
      <c r="U200" s="10"/>
      <c r="V200" s="10"/>
    </row>
    <row r="201" spans="2:22" x14ac:dyDescent="0.2">
      <c r="B201" s="8"/>
      <c r="E201" s="26"/>
      <c r="F201" s="26"/>
      <c r="G201" s="26"/>
      <c r="H201" s="26"/>
      <c r="I201" s="26"/>
      <c r="J201" s="26"/>
      <c r="K201" s="26"/>
      <c r="L201" s="26"/>
      <c r="M201" s="26"/>
      <c r="N201" s="26"/>
      <c r="O201" s="26"/>
      <c r="P201" s="26"/>
      <c r="Q201" s="10"/>
      <c r="R201" s="9"/>
      <c r="U201" s="10"/>
      <c r="V201" s="10"/>
    </row>
    <row r="202" spans="2:22" x14ac:dyDescent="0.2">
      <c r="B202" s="8"/>
      <c r="E202" s="26"/>
      <c r="F202" s="26"/>
      <c r="G202" s="26"/>
      <c r="H202" s="26"/>
      <c r="I202" s="26"/>
      <c r="J202" s="26"/>
      <c r="K202" s="26"/>
      <c r="L202" s="26"/>
      <c r="M202" s="26"/>
      <c r="N202" s="26"/>
      <c r="O202" s="26"/>
      <c r="P202" s="26"/>
      <c r="Q202" s="10"/>
      <c r="R202" s="9"/>
      <c r="U202" s="10"/>
      <c r="V202" s="10"/>
    </row>
    <row r="203" spans="2:22" x14ac:dyDescent="0.2">
      <c r="B203" s="8"/>
      <c r="E203" s="26"/>
      <c r="F203" s="26"/>
      <c r="G203" s="26"/>
      <c r="H203" s="26"/>
      <c r="I203" s="26"/>
      <c r="J203" s="26"/>
      <c r="K203" s="26"/>
      <c r="L203" s="26"/>
      <c r="M203" s="26"/>
      <c r="N203" s="26"/>
      <c r="O203" s="26"/>
      <c r="P203" s="26"/>
      <c r="Q203" s="10"/>
      <c r="R203" s="9"/>
      <c r="U203" s="10"/>
      <c r="V203" s="10"/>
    </row>
    <row r="204" spans="2:22" x14ac:dyDescent="0.2">
      <c r="B204" s="8"/>
      <c r="E204" s="26"/>
      <c r="F204" s="26"/>
      <c r="G204" s="26"/>
      <c r="H204" s="26"/>
      <c r="I204" s="26"/>
      <c r="J204" s="26"/>
      <c r="K204" s="26"/>
      <c r="L204" s="26"/>
      <c r="M204" s="26"/>
      <c r="N204" s="26"/>
      <c r="O204" s="26"/>
      <c r="P204" s="26"/>
      <c r="Q204" s="10"/>
      <c r="R204" s="9"/>
      <c r="U204" s="10"/>
      <c r="V204" s="10"/>
    </row>
    <row r="205" spans="2:22" x14ac:dyDescent="0.2">
      <c r="B205" s="8"/>
      <c r="E205" s="26"/>
      <c r="F205" s="26"/>
      <c r="G205" s="26"/>
      <c r="H205" s="26"/>
      <c r="I205" s="26"/>
      <c r="J205" s="26"/>
      <c r="K205" s="26"/>
      <c r="L205" s="26"/>
      <c r="M205" s="26"/>
      <c r="N205" s="26"/>
      <c r="O205" s="26"/>
      <c r="P205" s="26"/>
      <c r="Q205" s="10"/>
      <c r="R205" s="9"/>
      <c r="U205" s="10"/>
      <c r="V205" s="10"/>
    </row>
    <row r="206" spans="2:22" x14ac:dyDescent="0.2">
      <c r="B206" s="8"/>
      <c r="E206" s="26"/>
      <c r="F206" s="26"/>
      <c r="G206" s="26"/>
      <c r="H206" s="26"/>
      <c r="I206" s="26"/>
      <c r="J206" s="26"/>
      <c r="K206" s="26"/>
      <c r="L206" s="26"/>
      <c r="M206" s="26"/>
      <c r="N206" s="26"/>
      <c r="O206" s="26"/>
      <c r="P206" s="26"/>
      <c r="Q206" s="10"/>
      <c r="R206" s="9"/>
      <c r="U206" s="10"/>
      <c r="V206" s="10"/>
    </row>
    <row r="207" spans="2:22" x14ac:dyDescent="0.2">
      <c r="B207" s="8"/>
      <c r="E207" s="26"/>
      <c r="F207" s="26"/>
      <c r="G207" s="26"/>
      <c r="H207" s="26"/>
      <c r="I207" s="26"/>
      <c r="J207" s="26"/>
      <c r="K207" s="26"/>
      <c r="L207" s="26"/>
      <c r="M207" s="26"/>
      <c r="N207" s="26"/>
      <c r="O207" s="26"/>
      <c r="P207" s="26"/>
      <c r="Q207" s="10"/>
      <c r="R207" s="9"/>
      <c r="U207" s="10"/>
      <c r="V207" s="10"/>
    </row>
    <row r="208" spans="2:22" x14ac:dyDescent="0.2">
      <c r="B208" s="8"/>
      <c r="E208" s="26"/>
      <c r="F208" s="26"/>
      <c r="G208" s="26"/>
      <c r="H208" s="26"/>
      <c r="I208" s="26"/>
      <c r="J208" s="26"/>
      <c r="K208" s="26"/>
      <c r="L208" s="26"/>
      <c r="M208" s="26"/>
      <c r="N208" s="26"/>
      <c r="O208" s="26"/>
      <c r="P208" s="26"/>
      <c r="Q208" s="10"/>
      <c r="R208" s="9"/>
      <c r="U208" s="10"/>
      <c r="V208" s="10"/>
    </row>
    <row r="209" spans="2:22" x14ac:dyDescent="0.2">
      <c r="B209" s="8"/>
      <c r="E209" s="26"/>
      <c r="F209" s="26"/>
      <c r="G209" s="26"/>
      <c r="H209" s="26"/>
      <c r="I209" s="26"/>
      <c r="J209" s="26"/>
      <c r="K209" s="26"/>
      <c r="L209" s="26"/>
      <c r="M209" s="26"/>
      <c r="N209" s="26"/>
      <c r="O209" s="26"/>
      <c r="P209" s="26"/>
      <c r="Q209" s="10"/>
      <c r="R209" s="9"/>
      <c r="U209" s="10"/>
      <c r="V209" s="10"/>
    </row>
    <row r="210" spans="2:22" x14ac:dyDescent="0.2">
      <c r="B210" s="8"/>
      <c r="E210" s="26"/>
      <c r="F210" s="26"/>
      <c r="G210" s="26"/>
      <c r="H210" s="26"/>
      <c r="I210" s="26"/>
      <c r="J210" s="26"/>
      <c r="K210" s="26"/>
      <c r="L210" s="26"/>
      <c r="M210" s="26"/>
      <c r="N210" s="26"/>
      <c r="O210" s="26"/>
      <c r="P210" s="26"/>
      <c r="Q210" s="10"/>
      <c r="R210" s="9"/>
      <c r="U210" s="10"/>
      <c r="V210" s="10"/>
    </row>
    <row r="211" spans="2:22" x14ac:dyDescent="0.2">
      <c r="B211" s="8"/>
      <c r="E211" s="26"/>
      <c r="F211" s="26"/>
      <c r="G211" s="26"/>
      <c r="H211" s="26"/>
      <c r="I211" s="26"/>
      <c r="J211" s="26"/>
      <c r="K211" s="26"/>
      <c r="L211" s="26"/>
      <c r="M211" s="26"/>
      <c r="N211" s="26"/>
      <c r="O211" s="26"/>
      <c r="P211" s="26"/>
      <c r="Q211" s="10"/>
      <c r="R211" s="9"/>
      <c r="U211" s="10"/>
      <c r="V211" s="10"/>
    </row>
    <row r="212" spans="2:22" x14ac:dyDescent="0.2">
      <c r="B212" s="8"/>
      <c r="E212" s="26"/>
      <c r="F212" s="26"/>
      <c r="G212" s="26"/>
      <c r="H212" s="26"/>
      <c r="I212" s="26"/>
      <c r="J212" s="26"/>
      <c r="K212" s="26"/>
      <c r="L212" s="26"/>
      <c r="M212" s="26"/>
      <c r="N212" s="26"/>
      <c r="O212" s="26"/>
      <c r="P212" s="26"/>
      <c r="Q212" s="10"/>
      <c r="R212" s="9"/>
      <c r="U212" s="10"/>
      <c r="V212" s="10"/>
    </row>
    <row r="213" spans="2:22" x14ac:dyDescent="0.2">
      <c r="B213" s="8"/>
      <c r="E213" s="26"/>
      <c r="F213" s="26"/>
      <c r="G213" s="26"/>
      <c r="H213" s="26"/>
      <c r="I213" s="26"/>
      <c r="J213" s="26"/>
      <c r="K213" s="26"/>
      <c r="L213" s="26"/>
      <c r="M213" s="26"/>
      <c r="N213" s="26"/>
      <c r="O213" s="26"/>
      <c r="P213" s="26"/>
      <c r="Q213" s="10"/>
      <c r="R213" s="9"/>
      <c r="U213" s="10"/>
      <c r="V213" s="10"/>
    </row>
    <row r="214" spans="2:22" x14ac:dyDescent="0.2">
      <c r="B214" s="8"/>
      <c r="E214" s="26"/>
      <c r="F214" s="26"/>
      <c r="G214" s="26"/>
      <c r="H214" s="26"/>
      <c r="I214" s="26"/>
      <c r="J214" s="26"/>
      <c r="K214" s="26"/>
      <c r="L214" s="26"/>
      <c r="M214" s="26"/>
      <c r="N214" s="26"/>
      <c r="O214" s="26"/>
      <c r="P214" s="26"/>
      <c r="Q214" s="10"/>
      <c r="R214" s="9"/>
      <c r="U214" s="10"/>
      <c r="V214" s="10"/>
    </row>
    <row r="215" spans="2:22" x14ac:dyDescent="0.2">
      <c r="B215" s="8"/>
      <c r="E215" s="26"/>
      <c r="F215" s="26"/>
      <c r="G215" s="26"/>
      <c r="H215" s="26"/>
      <c r="I215" s="26"/>
      <c r="J215" s="26"/>
      <c r="K215" s="26"/>
      <c r="L215" s="26"/>
      <c r="M215" s="26"/>
      <c r="N215" s="26"/>
      <c r="O215" s="26"/>
      <c r="P215" s="26"/>
      <c r="Q215" s="10"/>
      <c r="R215" s="9"/>
      <c r="U215" s="10"/>
      <c r="V215" s="10"/>
    </row>
    <row r="216" spans="2:22" x14ac:dyDescent="0.2">
      <c r="B216" s="8"/>
      <c r="E216" s="26"/>
      <c r="F216" s="26"/>
      <c r="G216" s="26"/>
      <c r="H216" s="26"/>
      <c r="I216" s="26"/>
      <c r="J216" s="26"/>
      <c r="K216" s="26"/>
      <c r="L216" s="26"/>
      <c r="M216" s="26"/>
      <c r="N216" s="26"/>
      <c r="O216" s="26"/>
      <c r="P216" s="26"/>
      <c r="Q216" s="10"/>
      <c r="R216" s="9"/>
      <c r="U216" s="10"/>
      <c r="V216" s="10"/>
    </row>
    <row r="217" spans="2:22" x14ac:dyDescent="0.2">
      <c r="B217" s="8"/>
      <c r="E217" s="26"/>
      <c r="F217" s="26"/>
      <c r="G217" s="26"/>
      <c r="H217" s="26"/>
      <c r="I217" s="26"/>
      <c r="J217" s="26"/>
      <c r="K217" s="26"/>
      <c r="L217" s="26"/>
      <c r="M217" s="26"/>
      <c r="N217" s="26"/>
      <c r="O217" s="26"/>
      <c r="P217" s="26"/>
      <c r="Q217" s="10"/>
      <c r="R217" s="9"/>
      <c r="U217" s="10"/>
      <c r="V217" s="10"/>
    </row>
    <row r="218" spans="2:22" x14ac:dyDescent="0.2">
      <c r="B218" s="8"/>
      <c r="E218" s="26"/>
      <c r="F218" s="26"/>
      <c r="G218" s="26"/>
      <c r="H218" s="26"/>
      <c r="I218" s="26"/>
      <c r="J218" s="26"/>
      <c r="K218" s="26"/>
      <c r="L218" s="26"/>
      <c r="M218" s="26"/>
      <c r="N218" s="26"/>
      <c r="O218" s="26"/>
      <c r="P218" s="26"/>
      <c r="Q218" s="10"/>
      <c r="R218" s="9"/>
      <c r="U218" s="10"/>
      <c r="V218" s="10"/>
    </row>
    <row r="219" spans="2:22" x14ac:dyDescent="0.2">
      <c r="B219" s="8"/>
      <c r="E219" s="26"/>
      <c r="F219" s="26"/>
      <c r="G219" s="26"/>
      <c r="H219" s="26"/>
      <c r="I219" s="26"/>
      <c r="J219" s="26"/>
      <c r="K219" s="26"/>
      <c r="L219" s="26"/>
      <c r="M219" s="26"/>
      <c r="N219" s="26"/>
      <c r="O219" s="26"/>
      <c r="P219" s="26"/>
      <c r="Q219" s="10"/>
      <c r="R219" s="9"/>
      <c r="U219" s="10"/>
      <c r="V219" s="10"/>
    </row>
    <row r="220" spans="2:22" x14ac:dyDescent="0.2">
      <c r="B220" s="8"/>
      <c r="E220" s="26"/>
      <c r="F220" s="26"/>
      <c r="G220" s="26"/>
      <c r="H220" s="26"/>
      <c r="I220" s="26"/>
      <c r="J220" s="26"/>
      <c r="K220" s="26"/>
      <c r="L220" s="26"/>
      <c r="M220" s="26"/>
      <c r="N220" s="26"/>
      <c r="O220" s="26"/>
      <c r="P220" s="26"/>
      <c r="Q220" s="10"/>
      <c r="R220" s="9"/>
      <c r="U220" s="10"/>
      <c r="V220" s="10"/>
    </row>
    <row r="221" spans="2:22" x14ac:dyDescent="0.2">
      <c r="B221" s="8"/>
      <c r="E221" s="26"/>
      <c r="F221" s="26"/>
      <c r="G221" s="26"/>
      <c r="H221" s="26"/>
      <c r="I221" s="26"/>
      <c r="J221" s="26"/>
      <c r="K221" s="26"/>
      <c r="L221" s="26"/>
      <c r="M221" s="26"/>
      <c r="N221" s="26"/>
      <c r="O221" s="26"/>
      <c r="P221" s="26"/>
      <c r="Q221" s="10"/>
      <c r="R221" s="9"/>
      <c r="U221" s="10"/>
      <c r="V221" s="10"/>
    </row>
    <row r="222" spans="2:22" x14ac:dyDescent="0.2">
      <c r="B222" s="8"/>
      <c r="E222" s="26"/>
      <c r="F222" s="26"/>
      <c r="G222" s="26"/>
      <c r="H222" s="26"/>
      <c r="I222" s="26"/>
      <c r="J222" s="26"/>
      <c r="K222" s="26"/>
      <c r="L222" s="26"/>
      <c r="M222" s="26"/>
      <c r="N222" s="26"/>
      <c r="O222" s="26"/>
      <c r="P222" s="26"/>
      <c r="Q222" s="10"/>
      <c r="R222" s="9"/>
      <c r="U222" s="10"/>
      <c r="V222" s="10"/>
    </row>
    <row r="223" spans="2:22" x14ac:dyDescent="0.2">
      <c r="B223" s="8"/>
      <c r="E223" s="26"/>
      <c r="F223" s="26"/>
      <c r="G223" s="26"/>
      <c r="H223" s="26"/>
      <c r="I223" s="26"/>
      <c r="J223" s="26"/>
      <c r="K223" s="26"/>
      <c r="L223" s="26"/>
      <c r="M223" s="26"/>
      <c r="N223" s="26"/>
      <c r="O223" s="26"/>
      <c r="P223" s="26"/>
      <c r="Q223" s="10"/>
      <c r="R223" s="9"/>
      <c r="U223" s="10"/>
      <c r="V223" s="10"/>
    </row>
    <row r="224" spans="2:22" x14ac:dyDescent="0.2">
      <c r="B224" s="8"/>
      <c r="E224" s="26"/>
      <c r="F224" s="26"/>
      <c r="G224" s="26"/>
      <c r="H224" s="26"/>
      <c r="I224" s="26"/>
      <c r="J224" s="26"/>
      <c r="K224" s="26"/>
      <c r="L224" s="26"/>
      <c r="M224" s="26"/>
      <c r="N224" s="26"/>
      <c r="O224" s="26"/>
      <c r="P224" s="26"/>
      <c r="Q224" s="10"/>
      <c r="R224" s="9"/>
      <c r="U224" s="10"/>
      <c r="V224" s="10"/>
    </row>
    <row r="225" spans="2:22" x14ac:dyDescent="0.2">
      <c r="B225" s="8"/>
      <c r="E225" s="26"/>
      <c r="F225" s="26"/>
      <c r="G225" s="26"/>
      <c r="H225" s="26"/>
      <c r="I225" s="26"/>
      <c r="J225" s="26"/>
      <c r="K225" s="26"/>
      <c r="L225" s="26"/>
      <c r="M225" s="26"/>
      <c r="N225" s="26"/>
      <c r="O225" s="26"/>
      <c r="P225" s="26"/>
      <c r="Q225" s="10"/>
      <c r="R225" s="9"/>
      <c r="U225" s="10"/>
      <c r="V225" s="10"/>
    </row>
    <row r="226" spans="2:22" x14ac:dyDescent="0.2">
      <c r="B226" s="8"/>
      <c r="E226" s="26"/>
      <c r="F226" s="26"/>
      <c r="G226" s="26"/>
      <c r="H226" s="26"/>
      <c r="I226" s="26"/>
      <c r="J226" s="26"/>
      <c r="K226" s="26"/>
      <c r="L226" s="26"/>
      <c r="M226" s="26"/>
      <c r="N226" s="26"/>
      <c r="O226" s="26"/>
      <c r="P226" s="26"/>
      <c r="Q226" s="10"/>
      <c r="R226" s="9"/>
      <c r="U226" s="10"/>
      <c r="V226" s="10"/>
    </row>
    <row r="227" spans="2:22" x14ac:dyDescent="0.2">
      <c r="B227" s="8"/>
      <c r="E227" s="26"/>
      <c r="F227" s="26"/>
      <c r="G227" s="26"/>
      <c r="H227" s="26"/>
      <c r="I227" s="26"/>
      <c r="J227" s="26"/>
      <c r="K227" s="26"/>
      <c r="L227" s="26"/>
      <c r="M227" s="26"/>
      <c r="N227" s="26"/>
      <c r="O227" s="26"/>
      <c r="P227" s="26"/>
      <c r="Q227" s="10"/>
      <c r="R227" s="9"/>
      <c r="U227" s="10"/>
      <c r="V227" s="10"/>
    </row>
    <row r="228" spans="2:22" x14ac:dyDescent="0.2">
      <c r="B228" s="8"/>
      <c r="E228" s="26"/>
      <c r="F228" s="26"/>
      <c r="G228" s="26"/>
      <c r="H228" s="26"/>
      <c r="I228" s="26"/>
      <c r="J228" s="26"/>
      <c r="K228" s="26"/>
      <c r="L228" s="26"/>
      <c r="M228" s="26"/>
      <c r="N228" s="26"/>
      <c r="O228" s="26"/>
      <c r="P228" s="26"/>
      <c r="Q228" s="10"/>
      <c r="R228" s="9"/>
      <c r="U228" s="10"/>
      <c r="V228" s="10"/>
    </row>
    <row r="229" spans="2:22" x14ac:dyDescent="0.2">
      <c r="B229" s="8"/>
      <c r="E229" s="26"/>
      <c r="F229" s="26"/>
      <c r="G229" s="26"/>
      <c r="H229" s="26"/>
      <c r="I229" s="26"/>
      <c r="J229" s="26"/>
      <c r="K229" s="26"/>
      <c r="L229" s="26"/>
      <c r="M229" s="26"/>
      <c r="N229" s="26"/>
      <c r="O229" s="26"/>
      <c r="P229" s="26"/>
      <c r="Q229" s="10"/>
      <c r="R229" s="9"/>
      <c r="U229" s="10"/>
      <c r="V229" s="10"/>
    </row>
    <row r="230" spans="2:22" x14ac:dyDescent="0.2">
      <c r="B230" s="8"/>
      <c r="E230" s="26"/>
      <c r="F230" s="26"/>
      <c r="G230" s="26"/>
      <c r="H230" s="26"/>
      <c r="I230" s="26"/>
      <c r="J230" s="26"/>
      <c r="K230" s="26"/>
      <c r="L230" s="26"/>
      <c r="M230" s="26"/>
      <c r="N230" s="26"/>
      <c r="O230" s="26"/>
      <c r="P230" s="26"/>
      <c r="Q230" s="10"/>
      <c r="R230" s="9"/>
      <c r="U230" s="10"/>
      <c r="V230" s="10"/>
    </row>
    <row r="231" spans="2:22" x14ac:dyDescent="0.2">
      <c r="B231" s="8"/>
      <c r="E231" s="26"/>
      <c r="F231" s="26"/>
      <c r="G231" s="26"/>
      <c r="H231" s="26"/>
      <c r="I231" s="26"/>
      <c r="J231" s="26"/>
      <c r="K231" s="26"/>
      <c r="L231" s="26"/>
      <c r="M231" s="26"/>
      <c r="N231" s="26"/>
      <c r="O231" s="26"/>
      <c r="P231" s="26"/>
      <c r="Q231" s="10"/>
      <c r="R231" s="9"/>
      <c r="U231" s="10"/>
      <c r="V231" s="10"/>
    </row>
    <row r="232" spans="2:22" x14ac:dyDescent="0.2">
      <c r="B232" s="8"/>
      <c r="E232" s="26"/>
      <c r="F232" s="26"/>
      <c r="G232" s="26"/>
      <c r="H232" s="26"/>
      <c r="I232" s="26"/>
      <c r="J232" s="26"/>
      <c r="K232" s="26"/>
      <c r="L232" s="26"/>
      <c r="M232" s="26"/>
      <c r="N232" s="26"/>
      <c r="O232" s="26"/>
      <c r="P232" s="26"/>
      <c r="Q232" s="10"/>
      <c r="R232" s="9"/>
      <c r="U232" s="10"/>
      <c r="V232" s="10"/>
    </row>
    <row r="233" spans="2:22" x14ac:dyDescent="0.2">
      <c r="B233" s="8"/>
      <c r="E233" s="26"/>
      <c r="F233" s="26"/>
      <c r="G233" s="26"/>
      <c r="H233" s="26"/>
      <c r="I233" s="26"/>
      <c r="J233" s="26"/>
      <c r="K233" s="26"/>
      <c r="L233" s="26"/>
      <c r="M233" s="26"/>
      <c r="N233" s="26"/>
      <c r="O233" s="26"/>
      <c r="P233" s="26"/>
      <c r="Q233" s="10"/>
      <c r="R233" s="9"/>
      <c r="U233" s="10"/>
      <c r="V233" s="10"/>
    </row>
    <row r="234" spans="2:22" x14ac:dyDescent="0.2">
      <c r="B234" s="8"/>
      <c r="E234" s="26"/>
      <c r="F234" s="26"/>
      <c r="G234" s="26"/>
      <c r="H234" s="26"/>
      <c r="I234" s="26"/>
      <c r="J234" s="26"/>
      <c r="K234" s="26"/>
      <c r="L234" s="26"/>
      <c r="M234" s="26"/>
      <c r="N234" s="26"/>
      <c r="O234" s="26"/>
      <c r="P234" s="26"/>
      <c r="Q234" s="10"/>
      <c r="R234" s="9"/>
      <c r="U234" s="10"/>
      <c r="V234" s="10"/>
    </row>
    <row r="235" spans="2:22" x14ac:dyDescent="0.2">
      <c r="B235" s="8"/>
      <c r="E235" s="26"/>
      <c r="F235" s="26"/>
      <c r="G235" s="26"/>
      <c r="H235" s="26"/>
      <c r="I235" s="26"/>
      <c r="J235" s="26"/>
      <c r="K235" s="26"/>
      <c r="L235" s="26"/>
      <c r="M235" s="26"/>
      <c r="N235" s="26"/>
      <c r="O235" s="26"/>
      <c r="P235" s="26"/>
      <c r="Q235" s="10"/>
      <c r="R235" s="9"/>
      <c r="U235" s="10"/>
      <c r="V235" s="10"/>
    </row>
    <row r="236" spans="2:22" x14ac:dyDescent="0.2">
      <c r="B236" s="8"/>
      <c r="E236" s="26"/>
      <c r="F236" s="26"/>
      <c r="G236" s="26"/>
      <c r="H236" s="26"/>
      <c r="I236" s="26"/>
      <c r="J236" s="26"/>
      <c r="K236" s="26"/>
      <c r="L236" s="26"/>
      <c r="M236" s="26"/>
      <c r="N236" s="26"/>
      <c r="O236" s="26"/>
      <c r="P236" s="26"/>
      <c r="Q236" s="10"/>
      <c r="R236" s="9"/>
      <c r="U236" s="10"/>
      <c r="V236" s="10"/>
    </row>
    <row r="237" spans="2:22" x14ac:dyDescent="0.2">
      <c r="B237" s="8"/>
      <c r="E237" s="26"/>
      <c r="F237" s="26"/>
      <c r="G237" s="26"/>
      <c r="H237" s="26"/>
      <c r="I237" s="26"/>
      <c r="J237" s="26"/>
      <c r="K237" s="26"/>
      <c r="L237" s="26"/>
      <c r="M237" s="26"/>
      <c r="N237" s="26"/>
      <c r="O237" s="26"/>
      <c r="P237" s="26"/>
      <c r="Q237" s="10"/>
      <c r="R237" s="9"/>
      <c r="U237" s="10"/>
      <c r="V237" s="10"/>
    </row>
    <row r="238" spans="2:22" x14ac:dyDescent="0.2">
      <c r="B238" s="8"/>
      <c r="E238" s="26"/>
      <c r="F238" s="26"/>
      <c r="G238" s="26"/>
      <c r="H238" s="26"/>
      <c r="I238" s="26"/>
      <c r="J238" s="26"/>
      <c r="K238" s="26"/>
      <c r="L238" s="26"/>
      <c r="M238" s="26"/>
      <c r="N238" s="26"/>
      <c r="O238" s="26"/>
      <c r="P238" s="26"/>
      <c r="Q238" s="10"/>
      <c r="R238" s="9"/>
      <c r="U238" s="10"/>
      <c r="V238" s="10"/>
    </row>
    <row r="239" spans="2:22" x14ac:dyDescent="0.2">
      <c r="B239" s="8"/>
      <c r="E239" s="26"/>
      <c r="F239" s="26"/>
      <c r="G239" s="26"/>
      <c r="H239" s="26"/>
      <c r="I239" s="26"/>
      <c r="J239" s="26"/>
      <c r="K239" s="26"/>
      <c r="L239" s="26"/>
      <c r="M239" s="26"/>
      <c r="N239" s="26"/>
      <c r="O239" s="26"/>
      <c r="P239" s="26"/>
      <c r="Q239" s="10"/>
      <c r="R239" s="9"/>
      <c r="U239" s="10"/>
      <c r="V239" s="10"/>
    </row>
    <row r="240" spans="2:22" x14ac:dyDescent="0.2">
      <c r="B240" s="8"/>
      <c r="E240" s="26"/>
      <c r="F240" s="26"/>
      <c r="G240" s="26"/>
      <c r="H240" s="26"/>
      <c r="I240" s="26"/>
      <c r="J240" s="26"/>
      <c r="K240" s="26"/>
      <c r="L240" s="26"/>
      <c r="M240" s="26"/>
      <c r="N240" s="26"/>
      <c r="O240" s="26"/>
      <c r="P240" s="26"/>
      <c r="Q240" s="10"/>
      <c r="R240" s="9"/>
      <c r="U240" s="10"/>
      <c r="V240" s="10"/>
    </row>
    <row r="241" spans="2:22" x14ac:dyDescent="0.2">
      <c r="B241" s="8"/>
      <c r="E241" s="26"/>
      <c r="F241" s="26"/>
      <c r="G241" s="26"/>
      <c r="H241" s="26"/>
      <c r="I241" s="26"/>
      <c r="J241" s="26"/>
      <c r="K241" s="26"/>
      <c r="L241" s="26"/>
      <c r="M241" s="26"/>
      <c r="N241" s="26"/>
      <c r="O241" s="26"/>
      <c r="P241" s="26"/>
      <c r="Q241" s="10"/>
      <c r="R241" s="9"/>
      <c r="U241" s="10"/>
      <c r="V241" s="10"/>
    </row>
    <row r="242" spans="2:22" x14ac:dyDescent="0.2">
      <c r="B242" s="8"/>
      <c r="E242" s="26"/>
      <c r="F242" s="26"/>
      <c r="G242" s="26"/>
      <c r="H242" s="26"/>
      <c r="I242" s="26"/>
      <c r="J242" s="26"/>
      <c r="K242" s="26"/>
      <c r="L242" s="26"/>
      <c r="M242" s="26"/>
      <c r="N242" s="26"/>
      <c r="O242" s="26"/>
      <c r="P242" s="26"/>
      <c r="Q242" s="10"/>
      <c r="R242" s="9"/>
      <c r="U242" s="10"/>
      <c r="V242" s="10"/>
    </row>
    <row r="243" spans="2:22" x14ac:dyDescent="0.2">
      <c r="B243" s="8"/>
      <c r="E243" s="26"/>
      <c r="F243" s="26"/>
      <c r="G243" s="26"/>
      <c r="H243" s="26"/>
      <c r="I243" s="26"/>
      <c r="J243" s="26"/>
      <c r="K243" s="26"/>
      <c r="L243" s="26"/>
      <c r="M243" s="26"/>
      <c r="N243" s="26"/>
      <c r="O243" s="26"/>
      <c r="P243" s="26"/>
      <c r="Q243" s="10"/>
      <c r="R243" s="9"/>
      <c r="U243" s="10"/>
      <c r="V243" s="10"/>
    </row>
    <row r="244" spans="2:22" x14ac:dyDescent="0.2">
      <c r="B244" s="8"/>
      <c r="E244" s="26"/>
      <c r="F244" s="26"/>
      <c r="G244" s="26"/>
      <c r="H244" s="26"/>
      <c r="I244" s="26"/>
      <c r="J244" s="26"/>
      <c r="K244" s="26"/>
      <c r="L244" s="26"/>
      <c r="M244" s="26"/>
      <c r="N244" s="26"/>
      <c r="O244" s="26"/>
      <c r="P244" s="26"/>
      <c r="Q244" s="10"/>
      <c r="R244" s="9"/>
      <c r="U244" s="10"/>
      <c r="V244" s="10"/>
    </row>
    <row r="245" spans="2:22" x14ac:dyDescent="0.2">
      <c r="B245" s="8"/>
      <c r="E245" s="26"/>
      <c r="F245" s="26"/>
      <c r="G245" s="26"/>
      <c r="H245" s="26"/>
      <c r="I245" s="26"/>
      <c r="J245" s="26"/>
      <c r="K245" s="26"/>
      <c r="L245" s="26"/>
      <c r="M245" s="26"/>
      <c r="N245" s="26"/>
      <c r="O245" s="26"/>
      <c r="P245" s="26"/>
      <c r="Q245" s="10"/>
      <c r="R245" s="9"/>
      <c r="U245" s="10"/>
      <c r="V245" s="10"/>
    </row>
    <row r="246" spans="2:22" x14ac:dyDescent="0.2">
      <c r="B246" s="8"/>
      <c r="E246" s="26"/>
      <c r="F246" s="26"/>
      <c r="G246" s="26"/>
      <c r="H246" s="26"/>
      <c r="I246" s="26"/>
      <c r="J246" s="26"/>
      <c r="K246" s="26"/>
      <c r="L246" s="26"/>
      <c r="M246" s="26"/>
      <c r="N246" s="26"/>
      <c r="O246" s="26"/>
      <c r="P246" s="26"/>
      <c r="Q246" s="10"/>
      <c r="R246" s="9"/>
      <c r="U246" s="10"/>
      <c r="V246" s="10"/>
    </row>
    <row r="247" spans="2:22" x14ac:dyDescent="0.2">
      <c r="B247" s="8"/>
      <c r="E247" s="26"/>
      <c r="F247" s="26"/>
      <c r="G247" s="26"/>
      <c r="H247" s="26"/>
      <c r="I247" s="26"/>
      <c r="J247" s="26"/>
      <c r="K247" s="26"/>
      <c r="L247" s="26"/>
      <c r="M247" s="26"/>
      <c r="N247" s="26"/>
      <c r="O247" s="26"/>
      <c r="P247" s="26"/>
      <c r="Q247" s="10"/>
      <c r="R247" s="9"/>
      <c r="U247" s="10"/>
      <c r="V247" s="10"/>
    </row>
    <row r="248" spans="2:22" x14ac:dyDescent="0.2">
      <c r="B248" s="8"/>
      <c r="E248" s="26"/>
      <c r="F248" s="26"/>
      <c r="G248" s="26"/>
      <c r="H248" s="26"/>
      <c r="I248" s="26"/>
      <c r="J248" s="26"/>
      <c r="K248" s="26"/>
      <c r="L248" s="26"/>
      <c r="M248" s="26"/>
      <c r="N248" s="26"/>
      <c r="O248" s="26"/>
      <c r="P248" s="26"/>
      <c r="Q248" s="10"/>
      <c r="R248" s="9"/>
      <c r="U248" s="10"/>
      <c r="V248" s="10"/>
    </row>
    <row r="249" spans="2:22" x14ac:dyDescent="0.2">
      <c r="B249" s="8"/>
      <c r="E249" s="26"/>
      <c r="F249" s="26"/>
      <c r="G249" s="26"/>
      <c r="H249" s="26"/>
      <c r="I249" s="26"/>
      <c r="J249" s="26"/>
      <c r="K249" s="26"/>
      <c r="L249" s="26"/>
      <c r="M249" s="26"/>
      <c r="N249" s="26"/>
      <c r="O249" s="26"/>
      <c r="P249" s="26"/>
      <c r="Q249" s="10"/>
      <c r="R249" s="9"/>
      <c r="U249" s="10"/>
      <c r="V249" s="10"/>
    </row>
    <row r="250" spans="2:22" x14ac:dyDescent="0.2">
      <c r="B250" s="8"/>
      <c r="E250" s="26"/>
      <c r="F250" s="26"/>
      <c r="G250" s="26"/>
      <c r="H250" s="26"/>
      <c r="I250" s="26"/>
      <c r="J250" s="26"/>
      <c r="K250" s="26"/>
      <c r="L250" s="26"/>
      <c r="M250" s="26"/>
      <c r="N250" s="26"/>
      <c r="O250" s="26"/>
      <c r="P250" s="26"/>
      <c r="Q250" s="10"/>
      <c r="R250" s="9"/>
      <c r="U250" s="10"/>
      <c r="V250" s="10"/>
    </row>
    <row r="251" spans="2:22" x14ac:dyDescent="0.2">
      <c r="B251" s="8"/>
      <c r="E251" s="26"/>
      <c r="F251" s="26"/>
      <c r="G251" s="26"/>
      <c r="H251" s="26"/>
      <c r="I251" s="26"/>
      <c r="J251" s="26"/>
      <c r="K251" s="26"/>
      <c r="L251" s="26"/>
      <c r="M251" s="26"/>
      <c r="N251" s="26"/>
      <c r="O251" s="26"/>
      <c r="P251" s="26"/>
      <c r="Q251" s="10"/>
      <c r="R251" s="9"/>
      <c r="U251" s="10"/>
      <c r="V251" s="10"/>
    </row>
    <row r="252" spans="2:22" x14ac:dyDescent="0.2">
      <c r="B252" s="8"/>
      <c r="E252" s="26"/>
      <c r="F252" s="26"/>
      <c r="G252" s="26"/>
      <c r="H252" s="26"/>
      <c r="I252" s="26"/>
      <c r="J252" s="26"/>
      <c r="K252" s="26"/>
      <c r="L252" s="26"/>
      <c r="M252" s="26"/>
      <c r="N252" s="26"/>
      <c r="O252" s="26"/>
      <c r="P252" s="26"/>
      <c r="Q252" s="10"/>
      <c r="R252" s="9"/>
      <c r="U252" s="10"/>
      <c r="V252" s="10"/>
    </row>
    <row r="253" spans="2:22" x14ac:dyDescent="0.2">
      <c r="B253" s="8"/>
      <c r="E253" s="26"/>
      <c r="F253" s="26"/>
      <c r="G253" s="26"/>
      <c r="H253" s="26"/>
      <c r="I253" s="26"/>
      <c r="J253" s="26"/>
      <c r="K253" s="26"/>
      <c r="L253" s="26"/>
      <c r="M253" s="26"/>
      <c r="N253" s="26"/>
      <c r="O253" s="26"/>
      <c r="P253" s="26"/>
      <c r="Q253" s="10"/>
      <c r="R253" s="9"/>
      <c r="U253" s="10"/>
      <c r="V253" s="10"/>
    </row>
    <row r="254" spans="2:22" x14ac:dyDescent="0.2">
      <c r="B254" s="8"/>
      <c r="E254" s="26"/>
      <c r="F254" s="26"/>
      <c r="G254" s="26"/>
      <c r="H254" s="26"/>
      <c r="I254" s="26"/>
      <c r="J254" s="26"/>
      <c r="K254" s="26"/>
      <c r="L254" s="26"/>
      <c r="M254" s="26"/>
      <c r="N254" s="26"/>
      <c r="O254" s="26"/>
      <c r="P254" s="26"/>
      <c r="Q254" s="10"/>
      <c r="R254" s="9"/>
      <c r="U254" s="10"/>
      <c r="V254" s="10"/>
    </row>
    <row r="255" spans="2:22" x14ac:dyDescent="0.2">
      <c r="B255" s="8"/>
      <c r="E255" s="26"/>
      <c r="F255" s="26"/>
      <c r="G255" s="26"/>
      <c r="H255" s="26"/>
      <c r="I255" s="26"/>
      <c r="J255" s="26"/>
      <c r="K255" s="26"/>
      <c r="L255" s="26"/>
      <c r="M255" s="26"/>
      <c r="N255" s="26"/>
      <c r="O255" s="26"/>
      <c r="P255" s="26"/>
      <c r="Q255" s="10"/>
      <c r="R255" s="9"/>
      <c r="U255" s="10"/>
      <c r="V255" s="10"/>
    </row>
    <row r="256" spans="2:22" x14ac:dyDescent="0.2">
      <c r="B256" s="8"/>
      <c r="E256" s="26"/>
      <c r="F256" s="26"/>
      <c r="G256" s="26"/>
      <c r="H256" s="26"/>
      <c r="I256" s="26"/>
      <c r="J256" s="26"/>
      <c r="K256" s="26"/>
      <c r="L256" s="26"/>
      <c r="M256" s="26"/>
      <c r="N256" s="26"/>
      <c r="O256" s="26"/>
      <c r="P256" s="26"/>
      <c r="Q256" s="10"/>
      <c r="R256" s="9"/>
      <c r="U256" s="10"/>
      <c r="V256" s="10"/>
    </row>
    <row r="257" spans="2:22" x14ac:dyDescent="0.2">
      <c r="B257" s="8"/>
      <c r="E257" s="26"/>
      <c r="F257" s="26"/>
      <c r="G257" s="26"/>
      <c r="H257" s="26"/>
      <c r="I257" s="26"/>
      <c r="J257" s="26"/>
      <c r="K257" s="26"/>
      <c r="L257" s="26"/>
      <c r="M257" s="26"/>
      <c r="N257" s="26"/>
      <c r="O257" s="26"/>
      <c r="P257" s="26"/>
      <c r="Q257" s="10"/>
      <c r="R257" s="9"/>
      <c r="U257" s="10"/>
      <c r="V257" s="10"/>
    </row>
    <row r="258" spans="2:22" x14ac:dyDescent="0.2">
      <c r="B258" s="8"/>
      <c r="E258" s="26"/>
      <c r="F258" s="26"/>
      <c r="G258" s="26"/>
      <c r="H258" s="26"/>
      <c r="I258" s="26"/>
      <c r="J258" s="26"/>
      <c r="K258" s="26"/>
      <c r="L258" s="26"/>
      <c r="M258" s="26"/>
      <c r="N258" s="26"/>
      <c r="O258" s="26"/>
      <c r="P258" s="26"/>
      <c r="Q258" s="10"/>
      <c r="R258" s="9"/>
      <c r="U258" s="10"/>
      <c r="V258" s="10"/>
    </row>
    <row r="259" spans="2:22" x14ac:dyDescent="0.2">
      <c r="B259" s="8"/>
      <c r="E259" s="26"/>
      <c r="F259" s="26"/>
      <c r="G259" s="26"/>
      <c r="H259" s="26"/>
      <c r="I259" s="26"/>
      <c r="J259" s="26"/>
      <c r="K259" s="26"/>
      <c r="L259" s="26"/>
      <c r="M259" s="26"/>
      <c r="N259" s="26"/>
      <c r="O259" s="26"/>
      <c r="P259" s="26"/>
      <c r="Q259" s="10"/>
      <c r="R259" s="9"/>
      <c r="U259" s="10"/>
      <c r="V259" s="10"/>
    </row>
    <row r="260" spans="2:22" x14ac:dyDescent="0.2">
      <c r="B260" s="8"/>
      <c r="E260" s="26"/>
      <c r="F260" s="26"/>
      <c r="G260" s="26"/>
      <c r="H260" s="26"/>
      <c r="I260" s="26"/>
      <c r="J260" s="26"/>
      <c r="K260" s="26"/>
      <c r="L260" s="26"/>
      <c r="M260" s="26"/>
      <c r="N260" s="26"/>
      <c r="O260" s="26"/>
      <c r="P260" s="26"/>
      <c r="Q260" s="10"/>
      <c r="R260" s="9"/>
      <c r="U260" s="10"/>
      <c r="V260" s="10"/>
    </row>
    <row r="261" spans="2:22" x14ac:dyDescent="0.2">
      <c r="B261" s="8"/>
      <c r="E261" s="26"/>
      <c r="F261" s="26"/>
      <c r="G261" s="26"/>
      <c r="H261" s="26"/>
      <c r="I261" s="26"/>
      <c r="J261" s="26"/>
      <c r="K261" s="26"/>
      <c r="L261" s="26"/>
      <c r="M261" s="26"/>
      <c r="N261" s="26"/>
      <c r="O261" s="26"/>
      <c r="P261" s="26"/>
      <c r="Q261" s="10"/>
      <c r="R261" s="9"/>
      <c r="U261" s="10"/>
      <c r="V261" s="10"/>
    </row>
    <row r="262" spans="2:22" x14ac:dyDescent="0.2">
      <c r="B262" s="8"/>
      <c r="E262" s="26"/>
      <c r="F262" s="26"/>
      <c r="G262" s="26"/>
      <c r="H262" s="26"/>
      <c r="I262" s="26"/>
      <c r="J262" s="26"/>
      <c r="K262" s="26"/>
      <c r="L262" s="26"/>
      <c r="M262" s="26"/>
      <c r="N262" s="26"/>
      <c r="O262" s="26"/>
      <c r="P262" s="26"/>
      <c r="Q262" s="10"/>
      <c r="R262" s="9"/>
      <c r="U262" s="10"/>
      <c r="V262" s="10"/>
    </row>
    <row r="263" spans="2:22" x14ac:dyDescent="0.2">
      <c r="B263" s="8"/>
      <c r="E263" s="26"/>
      <c r="F263" s="26"/>
      <c r="G263" s="26"/>
      <c r="H263" s="26"/>
      <c r="I263" s="26"/>
      <c r="J263" s="26"/>
      <c r="K263" s="26"/>
      <c r="L263" s="26"/>
      <c r="M263" s="26"/>
      <c r="N263" s="26"/>
      <c r="O263" s="26"/>
      <c r="P263" s="26"/>
      <c r="Q263" s="10"/>
      <c r="R263" s="9"/>
      <c r="U263" s="10"/>
      <c r="V263" s="10"/>
    </row>
    <row r="264" spans="2:22" x14ac:dyDescent="0.2">
      <c r="B264" s="8"/>
      <c r="E264" s="26"/>
      <c r="F264" s="26"/>
      <c r="G264" s="26"/>
      <c r="H264" s="26"/>
      <c r="I264" s="26"/>
      <c r="J264" s="26"/>
      <c r="K264" s="26"/>
      <c r="L264" s="26"/>
      <c r="M264" s="26"/>
      <c r="N264" s="26"/>
      <c r="O264" s="26"/>
      <c r="P264" s="26"/>
      <c r="Q264" s="10"/>
      <c r="R264" s="9"/>
      <c r="U264" s="10"/>
      <c r="V264" s="10"/>
    </row>
    <row r="265" spans="2:22" x14ac:dyDescent="0.2">
      <c r="B265" s="8"/>
      <c r="E265" s="26"/>
      <c r="F265" s="26"/>
      <c r="G265" s="26"/>
      <c r="H265" s="26"/>
      <c r="I265" s="26"/>
      <c r="J265" s="26"/>
      <c r="K265" s="26"/>
      <c r="L265" s="26"/>
      <c r="M265" s="26"/>
      <c r="N265" s="26"/>
      <c r="O265" s="26"/>
      <c r="P265" s="26"/>
      <c r="Q265" s="10"/>
      <c r="R265" s="9"/>
      <c r="U265" s="10"/>
      <c r="V265" s="10"/>
    </row>
    <row r="266" spans="2:22" x14ac:dyDescent="0.2">
      <c r="B266" s="8"/>
      <c r="E266" s="26"/>
      <c r="F266" s="26"/>
      <c r="G266" s="26"/>
      <c r="H266" s="26"/>
      <c r="I266" s="26"/>
      <c r="J266" s="26"/>
      <c r="K266" s="26"/>
      <c r="L266" s="26"/>
      <c r="M266" s="26"/>
      <c r="N266" s="26"/>
      <c r="O266" s="26"/>
      <c r="P266" s="26"/>
      <c r="Q266" s="10"/>
      <c r="R266" s="9"/>
      <c r="U266" s="10"/>
      <c r="V266" s="10"/>
    </row>
    <row r="267" spans="2:22" x14ac:dyDescent="0.2">
      <c r="B267" s="8"/>
      <c r="E267" s="26"/>
      <c r="F267" s="26"/>
      <c r="G267" s="26"/>
      <c r="H267" s="26"/>
      <c r="I267" s="26"/>
      <c r="J267" s="26"/>
      <c r="K267" s="26"/>
      <c r="L267" s="26"/>
      <c r="M267" s="26"/>
      <c r="N267" s="26"/>
      <c r="O267" s="26"/>
      <c r="P267" s="26"/>
      <c r="Q267" s="10"/>
      <c r="R267" s="9"/>
      <c r="U267" s="10"/>
      <c r="V267" s="10"/>
    </row>
    <row r="268" spans="2:22" x14ac:dyDescent="0.2">
      <c r="B268" s="8"/>
      <c r="E268" s="26"/>
      <c r="F268" s="26"/>
      <c r="G268" s="26"/>
      <c r="H268" s="26"/>
      <c r="I268" s="26"/>
      <c r="J268" s="26"/>
      <c r="K268" s="26"/>
      <c r="L268" s="26"/>
      <c r="M268" s="26"/>
      <c r="N268" s="26"/>
      <c r="O268" s="26"/>
      <c r="P268" s="26"/>
      <c r="Q268" s="10"/>
      <c r="R268" s="9"/>
      <c r="U268" s="10"/>
      <c r="V268" s="10"/>
    </row>
    <row r="269" spans="2:22" x14ac:dyDescent="0.2">
      <c r="B269" s="8"/>
      <c r="E269" s="26"/>
      <c r="F269" s="26"/>
      <c r="G269" s="26"/>
      <c r="H269" s="26"/>
      <c r="I269" s="26"/>
      <c r="J269" s="26"/>
      <c r="K269" s="26"/>
      <c r="L269" s="26"/>
      <c r="M269" s="26"/>
      <c r="N269" s="26"/>
      <c r="O269" s="26"/>
      <c r="P269" s="26"/>
      <c r="Q269" s="10"/>
      <c r="R269" s="9"/>
      <c r="U269" s="10"/>
      <c r="V269" s="10"/>
    </row>
    <row r="270" spans="2:22" x14ac:dyDescent="0.2">
      <c r="B270" s="8"/>
      <c r="E270" s="26"/>
      <c r="F270" s="26"/>
      <c r="G270" s="26"/>
      <c r="H270" s="26"/>
      <c r="I270" s="26"/>
      <c r="J270" s="26"/>
      <c r="K270" s="26"/>
      <c r="L270" s="26"/>
      <c r="M270" s="26"/>
      <c r="N270" s="26"/>
      <c r="O270" s="26"/>
      <c r="P270" s="26"/>
      <c r="Q270" s="10"/>
      <c r="R270" s="9"/>
      <c r="U270" s="10"/>
      <c r="V270" s="10"/>
    </row>
    <row r="271" spans="2:22" x14ac:dyDescent="0.2">
      <c r="B271" s="8"/>
      <c r="E271" s="26"/>
      <c r="F271" s="26"/>
      <c r="G271" s="26"/>
      <c r="H271" s="26"/>
      <c r="I271" s="26"/>
      <c r="J271" s="26"/>
      <c r="K271" s="26"/>
      <c r="L271" s="26"/>
      <c r="M271" s="26"/>
      <c r="N271" s="26"/>
      <c r="O271" s="26"/>
      <c r="P271" s="26"/>
      <c r="Q271" s="10"/>
      <c r="R271" s="9"/>
      <c r="U271" s="10"/>
      <c r="V271" s="10"/>
    </row>
    <row r="272" spans="2:22" x14ac:dyDescent="0.2">
      <c r="B272" s="8"/>
      <c r="E272" s="26"/>
      <c r="F272" s="26"/>
      <c r="G272" s="26"/>
      <c r="H272" s="26"/>
      <c r="I272" s="26"/>
      <c r="J272" s="26"/>
      <c r="K272" s="26"/>
      <c r="L272" s="26"/>
      <c r="M272" s="26"/>
      <c r="N272" s="26"/>
      <c r="O272" s="26"/>
      <c r="P272" s="26"/>
      <c r="Q272" s="10"/>
      <c r="R272" s="9"/>
      <c r="U272" s="10"/>
      <c r="V272" s="10"/>
    </row>
    <row r="273" spans="2:22" x14ac:dyDescent="0.2">
      <c r="B273" s="8"/>
      <c r="E273" s="26"/>
      <c r="F273" s="26"/>
      <c r="G273" s="26"/>
      <c r="H273" s="26"/>
      <c r="I273" s="26"/>
      <c r="J273" s="26"/>
      <c r="K273" s="26"/>
      <c r="L273" s="26"/>
      <c r="M273" s="26"/>
      <c r="N273" s="26"/>
      <c r="O273" s="26"/>
      <c r="P273" s="26"/>
      <c r="Q273" s="10"/>
      <c r="R273" s="9"/>
      <c r="U273" s="10"/>
      <c r="V273" s="10"/>
    </row>
    <row r="274" spans="2:22" x14ac:dyDescent="0.2">
      <c r="B274" s="8"/>
      <c r="E274" s="26"/>
      <c r="F274" s="26"/>
      <c r="G274" s="26"/>
      <c r="H274" s="26"/>
      <c r="I274" s="26"/>
      <c r="J274" s="26"/>
      <c r="K274" s="26"/>
      <c r="L274" s="26"/>
      <c r="M274" s="26"/>
      <c r="N274" s="26"/>
      <c r="O274" s="26"/>
      <c r="P274" s="26"/>
      <c r="Q274" s="10"/>
      <c r="R274" s="9"/>
      <c r="U274" s="10"/>
      <c r="V274" s="10"/>
    </row>
    <row r="275" spans="2:22" x14ac:dyDescent="0.2">
      <c r="B275" s="8"/>
      <c r="E275" s="26"/>
      <c r="F275" s="26"/>
      <c r="G275" s="26"/>
      <c r="H275" s="26"/>
      <c r="I275" s="26"/>
      <c r="J275" s="26"/>
      <c r="K275" s="26"/>
      <c r="L275" s="26"/>
      <c r="M275" s="26"/>
      <c r="N275" s="26"/>
      <c r="O275" s="26"/>
      <c r="P275" s="26"/>
      <c r="Q275" s="10"/>
      <c r="R275" s="9"/>
      <c r="U275" s="10"/>
      <c r="V275" s="10"/>
    </row>
    <row r="276" spans="2:22" x14ac:dyDescent="0.2">
      <c r="B276" s="8"/>
      <c r="E276" s="26"/>
      <c r="F276" s="26"/>
      <c r="G276" s="26"/>
      <c r="H276" s="26"/>
      <c r="I276" s="26"/>
      <c r="J276" s="26"/>
      <c r="K276" s="26"/>
      <c r="L276" s="26"/>
      <c r="M276" s="26"/>
      <c r="N276" s="26"/>
      <c r="O276" s="26"/>
      <c r="P276" s="26"/>
      <c r="Q276" s="10"/>
      <c r="R276" s="9"/>
      <c r="U276" s="10"/>
      <c r="V276" s="10"/>
    </row>
    <row r="277" spans="2:22" x14ac:dyDescent="0.2">
      <c r="B277" s="8"/>
      <c r="E277" s="26"/>
      <c r="F277" s="26"/>
      <c r="G277" s="26"/>
      <c r="H277" s="26"/>
      <c r="I277" s="26"/>
      <c r="J277" s="26"/>
      <c r="K277" s="26"/>
      <c r="L277" s="26"/>
      <c r="M277" s="26"/>
      <c r="N277" s="26"/>
      <c r="O277" s="26"/>
      <c r="P277" s="26"/>
      <c r="Q277" s="10"/>
      <c r="R277" s="9"/>
      <c r="U277" s="10"/>
      <c r="V277" s="10"/>
    </row>
    <row r="278" spans="2:22" x14ac:dyDescent="0.2">
      <c r="B278" s="8"/>
      <c r="E278" s="26"/>
      <c r="F278" s="26"/>
      <c r="G278" s="26"/>
      <c r="H278" s="26"/>
      <c r="I278" s="26"/>
      <c r="J278" s="26"/>
      <c r="K278" s="26"/>
      <c r="L278" s="26"/>
      <c r="M278" s="26"/>
      <c r="N278" s="26"/>
      <c r="O278" s="26"/>
      <c r="P278" s="26"/>
      <c r="Q278" s="10"/>
      <c r="R278" s="9"/>
      <c r="U278" s="10"/>
      <c r="V278" s="10"/>
    </row>
    <row r="279" spans="2:22" x14ac:dyDescent="0.2">
      <c r="B279" s="8"/>
      <c r="E279" s="26"/>
      <c r="F279" s="26"/>
      <c r="G279" s="26"/>
      <c r="H279" s="26"/>
      <c r="I279" s="26"/>
      <c r="J279" s="26"/>
      <c r="K279" s="26"/>
      <c r="L279" s="26"/>
      <c r="M279" s="26"/>
      <c r="N279" s="26"/>
      <c r="O279" s="26"/>
      <c r="P279" s="26"/>
      <c r="Q279" s="10"/>
      <c r="R279" s="9"/>
      <c r="U279" s="10"/>
      <c r="V279" s="10"/>
    </row>
    <row r="280" spans="2:22" x14ac:dyDescent="0.2">
      <c r="B280" s="8"/>
      <c r="E280" s="26"/>
      <c r="F280" s="26"/>
      <c r="G280" s="26"/>
      <c r="H280" s="26"/>
      <c r="I280" s="26"/>
      <c r="J280" s="26"/>
      <c r="K280" s="26"/>
      <c r="L280" s="26"/>
      <c r="M280" s="26"/>
      <c r="N280" s="26"/>
      <c r="O280" s="26"/>
      <c r="P280" s="26"/>
      <c r="Q280" s="10"/>
      <c r="R280" s="9"/>
      <c r="U280" s="10"/>
      <c r="V280" s="10"/>
    </row>
    <row r="281" spans="2:22" x14ac:dyDescent="0.2">
      <c r="B281" s="8"/>
      <c r="E281" s="26"/>
      <c r="F281" s="26"/>
      <c r="G281" s="26"/>
      <c r="H281" s="26"/>
      <c r="I281" s="26"/>
      <c r="J281" s="26"/>
      <c r="K281" s="26"/>
      <c r="L281" s="26"/>
      <c r="M281" s="26"/>
      <c r="N281" s="26"/>
      <c r="O281" s="26"/>
      <c r="P281" s="26"/>
      <c r="Q281" s="10"/>
      <c r="R281" s="9"/>
      <c r="U281" s="10"/>
      <c r="V281" s="10"/>
    </row>
    <row r="282" spans="2:22" x14ac:dyDescent="0.2">
      <c r="B282" s="8"/>
      <c r="E282" s="26"/>
      <c r="F282" s="26"/>
      <c r="G282" s="26"/>
      <c r="H282" s="26"/>
      <c r="I282" s="26"/>
      <c r="J282" s="26"/>
      <c r="K282" s="26"/>
      <c r="L282" s="26"/>
      <c r="M282" s="26"/>
      <c r="N282" s="26"/>
      <c r="O282" s="26"/>
      <c r="P282" s="26"/>
      <c r="Q282" s="10"/>
      <c r="R282" s="9"/>
      <c r="U282" s="10"/>
      <c r="V282" s="10"/>
    </row>
    <row r="283" spans="2:22" x14ac:dyDescent="0.2">
      <c r="B283" s="8"/>
      <c r="E283" s="26"/>
      <c r="F283" s="26"/>
      <c r="G283" s="26"/>
      <c r="H283" s="26"/>
      <c r="I283" s="26"/>
      <c r="J283" s="26"/>
      <c r="K283" s="26"/>
      <c r="L283" s="26"/>
      <c r="M283" s="26"/>
      <c r="N283" s="26"/>
      <c r="O283" s="26"/>
      <c r="P283" s="26"/>
      <c r="Q283" s="10"/>
      <c r="R283" s="9"/>
      <c r="U283" s="10"/>
      <c r="V283" s="10"/>
    </row>
    <row r="284" spans="2:22" x14ac:dyDescent="0.2">
      <c r="B284" s="8"/>
      <c r="E284" s="26"/>
      <c r="F284" s="26"/>
      <c r="G284" s="26"/>
      <c r="H284" s="26"/>
      <c r="I284" s="26"/>
      <c r="J284" s="26"/>
      <c r="K284" s="26"/>
      <c r="L284" s="26"/>
      <c r="M284" s="26"/>
      <c r="N284" s="26"/>
      <c r="O284" s="26"/>
      <c r="P284" s="26"/>
      <c r="Q284" s="10"/>
      <c r="R284" s="9"/>
      <c r="U284" s="10"/>
      <c r="V284" s="10"/>
    </row>
    <row r="285" spans="2:22" x14ac:dyDescent="0.2">
      <c r="B285" s="8"/>
      <c r="E285" s="26"/>
      <c r="F285" s="26"/>
      <c r="G285" s="26"/>
      <c r="H285" s="26"/>
      <c r="I285" s="26"/>
      <c r="J285" s="26"/>
      <c r="K285" s="26"/>
      <c r="L285" s="26"/>
      <c r="M285" s="26"/>
      <c r="N285" s="26"/>
      <c r="O285" s="26"/>
      <c r="P285" s="26"/>
      <c r="Q285" s="10"/>
      <c r="R285" s="9"/>
      <c r="U285" s="10"/>
      <c r="V285" s="10"/>
    </row>
    <row r="286" spans="2:22" x14ac:dyDescent="0.2">
      <c r="B286" s="8"/>
      <c r="E286" s="26"/>
      <c r="F286" s="26"/>
      <c r="G286" s="26"/>
      <c r="H286" s="26"/>
      <c r="I286" s="26"/>
      <c r="J286" s="26"/>
      <c r="K286" s="26"/>
      <c r="L286" s="26"/>
      <c r="M286" s="26"/>
      <c r="N286" s="26"/>
      <c r="O286" s="26"/>
      <c r="P286" s="26"/>
      <c r="Q286" s="10"/>
      <c r="R286" s="9"/>
      <c r="U286" s="10"/>
      <c r="V286" s="10"/>
    </row>
    <row r="287" spans="2:22" x14ac:dyDescent="0.2">
      <c r="B287" s="8"/>
      <c r="E287" s="26"/>
      <c r="F287" s="26"/>
      <c r="G287" s="26"/>
      <c r="H287" s="26"/>
      <c r="I287" s="26"/>
      <c r="J287" s="26"/>
      <c r="K287" s="26"/>
      <c r="L287" s="26"/>
      <c r="M287" s="26"/>
      <c r="N287" s="26"/>
      <c r="O287" s="26"/>
      <c r="P287" s="26"/>
      <c r="Q287" s="10"/>
      <c r="R287" s="9"/>
      <c r="U287" s="10"/>
      <c r="V287" s="10"/>
    </row>
    <row r="288" spans="2:22" x14ac:dyDescent="0.2">
      <c r="B288" s="8"/>
      <c r="E288" s="26"/>
      <c r="F288" s="26"/>
      <c r="G288" s="26"/>
      <c r="H288" s="26"/>
      <c r="I288" s="26"/>
      <c r="J288" s="26"/>
      <c r="K288" s="26"/>
      <c r="L288" s="26"/>
      <c r="M288" s="26"/>
      <c r="N288" s="26"/>
      <c r="O288" s="26"/>
      <c r="P288" s="26"/>
      <c r="Q288" s="10"/>
      <c r="R288" s="9"/>
      <c r="U288" s="10"/>
      <c r="V288" s="10"/>
    </row>
    <row r="289" spans="2:22" x14ac:dyDescent="0.2">
      <c r="B289" s="8"/>
      <c r="E289" s="26"/>
      <c r="F289" s="26"/>
      <c r="G289" s="26"/>
      <c r="H289" s="26"/>
      <c r="I289" s="26"/>
      <c r="J289" s="26"/>
      <c r="K289" s="26"/>
      <c r="L289" s="26"/>
      <c r="M289" s="26"/>
      <c r="N289" s="26"/>
      <c r="O289" s="26"/>
      <c r="P289" s="26"/>
      <c r="Q289" s="10"/>
      <c r="R289" s="9"/>
      <c r="U289" s="10"/>
      <c r="V289" s="10"/>
    </row>
    <row r="290" spans="2:22" x14ac:dyDescent="0.2">
      <c r="B290" s="8"/>
      <c r="E290" s="26"/>
      <c r="F290" s="26"/>
      <c r="G290" s="26"/>
      <c r="H290" s="26"/>
      <c r="I290" s="26"/>
      <c r="J290" s="26"/>
      <c r="K290" s="26"/>
      <c r="L290" s="26"/>
      <c r="M290" s="26"/>
      <c r="N290" s="26"/>
      <c r="O290" s="26"/>
      <c r="P290" s="26"/>
      <c r="Q290" s="10"/>
      <c r="R290" s="9"/>
      <c r="U290" s="10"/>
      <c r="V290" s="10"/>
    </row>
    <row r="291" spans="2:22" x14ac:dyDescent="0.2">
      <c r="B291" s="8"/>
      <c r="E291" s="26"/>
      <c r="F291" s="26"/>
      <c r="G291" s="26"/>
      <c r="H291" s="26"/>
      <c r="I291" s="26"/>
      <c r="J291" s="26"/>
      <c r="K291" s="26"/>
      <c r="L291" s="26"/>
      <c r="M291" s="26"/>
      <c r="N291" s="26"/>
      <c r="O291" s="26"/>
      <c r="P291" s="26"/>
      <c r="Q291" s="10"/>
      <c r="R291" s="9"/>
      <c r="U291" s="10"/>
      <c r="V291" s="10"/>
    </row>
    <row r="292" spans="2:22" x14ac:dyDescent="0.2">
      <c r="B292" s="8"/>
      <c r="E292" s="26"/>
      <c r="F292" s="26"/>
      <c r="G292" s="26"/>
      <c r="H292" s="26"/>
      <c r="I292" s="26"/>
      <c r="J292" s="26"/>
      <c r="K292" s="26"/>
      <c r="L292" s="26"/>
      <c r="M292" s="26"/>
      <c r="N292" s="26"/>
      <c r="O292" s="26"/>
      <c r="P292" s="26"/>
      <c r="Q292" s="10"/>
      <c r="R292" s="9"/>
      <c r="U292" s="10"/>
      <c r="V292" s="10"/>
    </row>
    <row r="293" spans="2:22" x14ac:dyDescent="0.2">
      <c r="B293" s="8"/>
      <c r="E293" s="26"/>
      <c r="F293" s="26"/>
      <c r="G293" s="26"/>
      <c r="H293" s="26"/>
      <c r="I293" s="26"/>
      <c r="J293" s="26"/>
      <c r="K293" s="26"/>
      <c r="L293" s="26"/>
      <c r="M293" s="26"/>
      <c r="N293" s="26"/>
      <c r="O293" s="26"/>
      <c r="P293" s="26"/>
      <c r="Q293" s="10"/>
      <c r="R293" s="9"/>
      <c r="U293" s="10"/>
      <c r="V293" s="10"/>
    </row>
    <row r="294" spans="2:22" x14ac:dyDescent="0.2">
      <c r="B294" s="8"/>
      <c r="E294" s="26"/>
      <c r="F294" s="26"/>
      <c r="G294" s="26"/>
      <c r="H294" s="26"/>
      <c r="I294" s="26"/>
      <c r="J294" s="26"/>
      <c r="K294" s="26"/>
      <c r="L294" s="26"/>
      <c r="M294" s="26"/>
      <c r="N294" s="26"/>
      <c r="O294" s="26"/>
      <c r="P294" s="26"/>
      <c r="Q294" s="10"/>
      <c r="R294" s="9"/>
      <c r="U294" s="10"/>
      <c r="V294" s="10"/>
    </row>
    <row r="295" spans="2:22" x14ac:dyDescent="0.2">
      <c r="B295" s="8"/>
      <c r="E295" s="26"/>
      <c r="F295" s="26"/>
      <c r="G295" s="26"/>
      <c r="H295" s="26"/>
      <c r="I295" s="26"/>
      <c r="J295" s="26"/>
      <c r="K295" s="26"/>
      <c r="L295" s="26"/>
      <c r="M295" s="26"/>
      <c r="N295" s="26"/>
      <c r="O295" s="26"/>
      <c r="P295" s="26"/>
      <c r="Q295" s="10"/>
      <c r="R295" s="9"/>
      <c r="U295" s="10"/>
      <c r="V295" s="10"/>
    </row>
    <row r="296" spans="2:22" x14ac:dyDescent="0.2">
      <c r="B296" s="8"/>
      <c r="E296" s="26"/>
      <c r="F296" s="26"/>
      <c r="G296" s="26"/>
      <c r="H296" s="26"/>
      <c r="I296" s="26"/>
      <c r="J296" s="26"/>
      <c r="K296" s="26"/>
      <c r="L296" s="26"/>
      <c r="M296" s="26"/>
      <c r="N296" s="26"/>
      <c r="O296" s="26"/>
      <c r="P296" s="26"/>
      <c r="Q296" s="10"/>
      <c r="R296" s="9"/>
      <c r="U296" s="10"/>
      <c r="V296" s="10"/>
    </row>
    <row r="297" spans="2:22" x14ac:dyDescent="0.2">
      <c r="B297" s="8"/>
      <c r="E297" s="26"/>
      <c r="F297" s="26"/>
      <c r="G297" s="26"/>
      <c r="H297" s="26"/>
      <c r="I297" s="26"/>
      <c r="J297" s="26"/>
      <c r="K297" s="26"/>
      <c r="L297" s="26"/>
      <c r="M297" s="26"/>
      <c r="N297" s="26"/>
      <c r="O297" s="26"/>
      <c r="P297" s="26"/>
      <c r="Q297" s="10"/>
      <c r="R297" s="9"/>
      <c r="U297" s="10"/>
      <c r="V297" s="10"/>
    </row>
    <row r="298" spans="2:22" x14ac:dyDescent="0.2">
      <c r="B298" s="8"/>
      <c r="E298" s="26"/>
      <c r="F298" s="26"/>
      <c r="G298" s="26"/>
      <c r="H298" s="26"/>
      <c r="I298" s="26"/>
      <c r="J298" s="26"/>
      <c r="K298" s="26"/>
      <c r="L298" s="26"/>
      <c r="M298" s="26"/>
      <c r="N298" s="26"/>
      <c r="O298" s="26"/>
      <c r="P298" s="26"/>
      <c r="Q298" s="10"/>
      <c r="R298" s="9"/>
      <c r="U298" s="10"/>
      <c r="V298" s="10"/>
    </row>
    <row r="299" spans="2:22" x14ac:dyDescent="0.2">
      <c r="B299" s="8"/>
      <c r="E299" s="26"/>
      <c r="F299" s="26"/>
      <c r="G299" s="26"/>
      <c r="H299" s="26"/>
      <c r="I299" s="26"/>
      <c r="J299" s="26"/>
      <c r="K299" s="26"/>
      <c r="L299" s="26"/>
      <c r="M299" s="26"/>
      <c r="N299" s="26"/>
      <c r="O299" s="26"/>
      <c r="P299" s="26"/>
      <c r="Q299" s="10"/>
      <c r="R299" s="9"/>
      <c r="U299" s="10"/>
      <c r="V299" s="10"/>
    </row>
    <row r="300" spans="2:22" x14ac:dyDescent="0.2">
      <c r="B300" s="8"/>
      <c r="E300" s="26"/>
      <c r="F300" s="26"/>
      <c r="G300" s="26"/>
      <c r="H300" s="26"/>
      <c r="I300" s="26"/>
      <c r="J300" s="26"/>
      <c r="K300" s="26"/>
      <c r="L300" s="26"/>
      <c r="M300" s="26"/>
      <c r="N300" s="26"/>
      <c r="O300" s="26"/>
      <c r="P300" s="26"/>
      <c r="Q300" s="10"/>
      <c r="R300" s="9"/>
      <c r="U300" s="10"/>
      <c r="V300" s="10"/>
    </row>
    <row r="301" spans="2:22" x14ac:dyDescent="0.2">
      <c r="B301" s="8"/>
      <c r="E301" s="26"/>
      <c r="F301" s="26"/>
      <c r="G301" s="26"/>
      <c r="H301" s="26"/>
      <c r="I301" s="26"/>
      <c r="J301" s="26"/>
      <c r="K301" s="26"/>
      <c r="L301" s="26"/>
      <c r="M301" s="26"/>
      <c r="N301" s="26"/>
      <c r="O301" s="26"/>
      <c r="P301" s="26"/>
      <c r="Q301" s="10"/>
      <c r="R301" s="9"/>
      <c r="U301" s="10"/>
      <c r="V301" s="10"/>
    </row>
    <row r="302" spans="2:22" x14ac:dyDescent="0.2">
      <c r="B302" s="8"/>
      <c r="E302" s="26"/>
      <c r="F302" s="26"/>
      <c r="G302" s="26"/>
      <c r="H302" s="26"/>
      <c r="I302" s="26"/>
      <c r="J302" s="26"/>
      <c r="K302" s="26"/>
      <c r="L302" s="26"/>
      <c r="M302" s="26"/>
      <c r="N302" s="26"/>
      <c r="O302" s="26"/>
      <c r="P302" s="26"/>
      <c r="Q302" s="10"/>
      <c r="R302" s="9"/>
      <c r="U302" s="10"/>
      <c r="V302" s="10"/>
    </row>
    <row r="303" spans="2:22" x14ac:dyDescent="0.2">
      <c r="B303" s="8"/>
      <c r="E303" s="26"/>
      <c r="F303" s="26"/>
      <c r="G303" s="26"/>
      <c r="H303" s="26"/>
      <c r="I303" s="26"/>
      <c r="J303" s="26"/>
      <c r="K303" s="26"/>
      <c r="L303" s="26"/>
      <c r="M303" s="26"/>
      <c r="N303" s="26"/>
      <c r="O303" s="26"/>
      <c r="P303" s="26"/>
      <c r="Q303" s="10"/>
      <c r="R303" s="9"/>
      <c r="U303" s="10"/>
      <c r="V303" s="10"/>
    </row>
    <row r="304" spans="2:22" x14ac:dyDescent="0.2">
      <c r="B304" s="8"/>
      <c r="E304" s="26"/>
      <c r="F304" s="26"/>
      <c r="G304" s="26"/>
      <c r="H304" s="26"/>
      <c r="I304" s="26"/>
      <c r="J304" s="26"/>
      <c r="K304" s="26"/>
      <c r="L304" s="26"/>
      <c r="M304" s="26"/>
      <c r="N304" s="26"/>
      <c r="O304" s="26"/>
      <c r="P304" s="26"/>
      <c r="Q304" s="10"/>
      <c r="R304" s="9"/>
      <c r="U304" s="10"/>
      <c r="V304" s="10"/>
    </row>
    <row r="305" spans="2:22" x14ac:dyDescent="0.2">
      <c r="B305" s="8"/>
      <c r="E305" s="26"/>
      <c r="F305" s="26"/>
      <c r="G305" s="26"/>
      <c r="H305" s="26"/>
      <c r="I305" s="26"/>
      <c r="J305" s="26"/>
      <c r="K305" s="26"/>
      <c r="L305" s="26"/>
      <c r="M305" s="26"/>
      <c r="N305" s="26"/>
      <c r="O305" s="26"/>
      <c r="P305" s="26"/>
      <c r="Q305" s="10"/>
      <c r="R305" s="9"/>
      <c r="U305" s="10"/>
      <c r="V305" s="10"/>
    </row>
    <row r="306" spans="2:22" x14ac:dyDescent="0.2">
      <c r="B306" s="8"/>
      <c r="E306" s="26"/>
      <c r="F306" s="26"/>
      <c r="G306" s="26"/>
      <c r="H306" s="26"/>
      <c r="I306" s="26"/>
      <c r="J306" s="26"/>
      <c r="K306" s="26"/>
      <c r="L306" s="26"/>
      <c r="M306" s="26"/>
      <c r="N306" s="26"/>
      <c r="O306" s="26"/>
      <c r="P306" s="26"/>
      <c r="Q306" s="10"/>
      <c r="R306" s="9"/>
      <c r="U306" s="10"/>
      <c r="V306" s="10"/>
    </row>
    <row r="307" spans="2:22" x14ac:dyDescent="0.2">
      <c r="B307" s="8"/>
      <c r="E307" s="26"/>
      <c r="F307" s="26"/>
      <c r="G307" s="26"/>
      <c r="H307" s="26"/>
      <c r="I307" s="26"/>
      <c r="J307" s="26"/>
      <c r="K307" s="26"/>
      <c r="L307" s="26"/>
      <c r="M307" s="26"/>
      <c r="N307" s="26"/>
      <c r="O307" s="26"/>
      <c r="P307" s="26"/>
      <c r="Q307" s="10"/>
      <c r="R307" s="9"/>
      <c r="U307" s="10"/>
      <c r="V307" s="10"/>
    </row>
    <row r="308" spans="2:22" x14ac:dyDescent="0.2">
      <c r="B308" s="8"/>
      <c r="E308" s="26"/>
      <c r="F308" s="26"/>
      <c r="G308" s="26"/>
      <c r="H308" s="26"/>
      <c r="I308" s="26"/>
      <c r="J308" s="26"/>
      <c r="K308" s="26"/>
      <c r="L308" s="26"/>
      <c r="M308" s="26"/>
      <c r="N308" s="26"/>
      <c r="O308" s="26"/>
      <c r="P308" s="26"/>
      <c r="Q308" s="10"/>
      <c r="R308" s="9"/>
      <c r="U308" s="10"/>
      <c r="V308" s="10"/>
    </row>
    <row r="309" spans="2:22" x14ac:dyDescent="0.2">
      <c r="B309" s="8"/>
      <c r="E309" s="26"/>
      <c r="F309" s="26"/>
      <c r="G309" s="26"/>
      <c r="H309" s="26"/>
      <c r="I309" s="26"/>
      <c r="J309" s="26"/>
      <c r="K309" s="26"/>
      <c r="L309" s="26"/>
      <c r="M309" s="26"/>
      <c r="N309" s="26"/>
      <c r="O309" s="26"/>
      <c r="P309" s="26"/>
      <c r="Q309" s="10"/>
      <c r="R309" s="9"/>
      <c r="U309" s="10"/>
      <c r="V309" s="10"/>
    </row>
    <row r="310" spans="2:22" x14ac:dyDescent="0.2">
      <c r="B310" s="8"/>
      <c r="E310" s="26"/>
      <c r="F310" s="26"/>
      <c r="G310" s="26"/>
      <c r="H310" s="26"/>
      <c r="I310" s="26"/>
      <c r="J310" s="26"/>
      <c r="K310" s="26"/>
      <c r="L310" s="26"/>
      <c r="M310" s="26"/>
      <c r="N310" s="26"/>
      <c r="O310" s="26"/>
      <c r="P310" s="26"/>
      <c r="Q310" s="10"/>
      <c r="R310" s="9"/>
      <c r="U310" s="10"/>
      <c r="V310" s="10"/>
    </row>
    <row r="311" spans="2:22" x14ac:dyDescent="0.2">
      <c r="B311" s="8"/>
      <c r="E311" s="26"/>
      <c r="F311" s="26"/>
      <c r="G311" s="26"/>
      <c r="H311" s="26"/>
      <c r="I311" s="26"/>
      <c r="J311" s="26"/>
      <c r="K311" s="26"/>
      <c r="L311" s="26"/>
      <c r="M311" s="26"/>
      <c r="N311" s="26"/>
      <c r="O311" s="26"/>
      <c r="P311" s="26"/>
      <c r="Q311" s="10"/>
      <c r="R311" s="9"/>
      <c r="U311" s="10"/>
      <c r="V311" s="10"/>
    </row>
    <row r="312" spans="2:22" x14ac:dyDescent="0.2">
      <c r="B312" s="8"/>
      <c r="E312" s="26"/>
      <c r="F312" s="26"/>
      <c r="G312" s="26"/>
      <c r="H312" s="26"/>
      <c r="I312" s="26"/>
      <c r="J312" s="26"/>
      <c r="K312" s="26"/>
      <c r="L312" s="26"/>
      <c r="M312" s="26"/>
      <c r="N312" s="26"/>
      <c r="O312" s="26"/>
      <c r="P312" s="26"/>
      <c r="Q312" s="10"/>
      <c r="R312" s="9"/>
      <c r="U312" s="10"/>
      <c r="V312" s="10"/>
    </row>
    <row r="313" spans="2:22" x14ac:dyDescent="0.2">
      <c r="B313" s="8"/>
      <c r="E313" s="26"/>
      <c r="F313" s="26"/>
      <c r="G313" s="26"/>
      <c r="H313" s="26"/>
      <c r="I313" s="26"/>
      <c r="J313" s="26"/>
      <c r="K313" s="26"/>
      <c r="L313" s="26"/>
      <c r="M313" s="26"/>
      <c r="N313" s="26"/>
      <c r="O313" s="26"/>
      <c r="P313" s="26"/>
      <c r="Q313" s="10"/>
      <c r="R313" s="9"/>
      <c r="U313" s="10"/>
      <c r="V313" s="10"/>
    </row>
    <row r="314" spans="2:22" x14ac:dyDescent="0.2">
      <c r="B314" s="8"/>
      <c r="E314" s="26"/>
      <c r="F314" s="26"/>
      <c r="G314" s="26"/>
      <c r="H314" s="26"/>
      <c r="I314" s="26"/>
      <c r="J314" s="26"/>
      <c r="K314" s="26"/>
      <c r="L314" s="26"/>
      <c r="M314" s="26"/>
      <c r="N314" s="26"/>
      <c r="O314" s="26"/>
      <c r="P314" s="26"/>
      <c r="Q314" s="10"/>
      <c r="R314" s="9"/>
      <c r="U314" s="10"/>
      <c r="V314" s="10"/>
    </row>
    <row r="315" spans="2:22" x14ac:dyDescent="0.2">
      <c r="B315" s="8"/>
      <c r="E315" s="26"/>
      <c r="F315" s="26"/>
      <c r="G315" s="26"/>
      <c r="H315" s="26"/>
      <c r="I315" s="26"/>
      <c r="J315" s="26"/>
      <c r="K315" s="26"/>
      <c r="L315" s="26"/>
      <c r="M315" s="26"/>
      <c r="N315" s="26"/>
      <c r="O315" s="26"/>
      <c r="P315" s="26"/>
      <c r="Q315" s="10"/>
      <c r="R315" s="9"/>
      <c r="U315" s="10"/>
      <c r="V315" s="10"/>
    </row>
    <row r="316" spans="2:22" x14ac:dyDescent="0.2">
      <c r="B316" s="8"/>
      <c r="E316" s="26"/>
      <c r="F316" s="26"/>
      <c r="G316" s="26"/>
      <c r="H316" s="26"/>
      <c r="I316" s="26"/>
      <c r="J316" s="26"/>
      <c r="K316" s="26"/>
      <c r="L316" s="26"/>
      <c r="M316" s="26"/>
      <c r="N316" s="26"/>
      <c r="O316" s="26"/>
      <c r="P316" s="26"/>
      <c r="Q316" s="10"/>
      <c r="R316" s="9"/>
      <c r="U316" s="10"/>
      <c r="V316" s="10"/>
    </row>
    <row r="317" spans="2:22" x14ac:dyDescent="0.2">
      <c r="B317" s="8"/>
      <c r="E317" s="26"/>
      <c r="F317" s="26"/>
      <c r="G317" s="26"/>
      <c r="H317" s="26"/>
      <c r="I317" s="26"/>
      <c r="J317" s="26"/>
      <c r="K317" s="26"/>
      <c r="L317" s="26"/>
      <c r="M317" s="26"/>
      <c r="N317" s="26"/>
      <c r="O317" s="26"/>
      <c r="P317" s="26"/>
      <c r="Q317" s="10"/>
      <c r="R317" s="9"/>
      <c r="U317" s="10"/>
      <c r="V317" s="10"/>
    </row>
    <row r="318" spans="2:22" x14ac:dyDescent="0.2">
      <c r="B318" s="8"/>
      <c r="E318" s="26"/>
      <c r="F318" s="26"/>
      <c r="G318" s="26"/>
      <c r="H318" s="26"/>
      <c r="I318" s="26"/>
      <c r="J318" s="26"/>
      <c r="K318" s="26"/>
      <c r="L318" s="26"/>
      <c r="M318" s="26"/>
      <c r="N318" s="26"/>
      <c r="O318" s="26"/>
      <c r="P318" s="26"/>
      <c r="Q318" s="10"/>
      <c r="R318" s="9"/>
      <c r="U318" s="10"/>
      <c r="V318" s="10"/>
    </row>
    <row r="319" spans="2:22" x14ac:dyDescent="0.2">
      <c r="B319" s="8"/>
      <c r="E319" s="26"/>
      <c r="F319" s="26"/>
      <c r="G319" s="26"/>
      <c r="H319" s="26"/>
      <c r="I319" s="26"/>
      <c r="J319" s="26"/>
      <c r="K319" s="26"/>
      <c r="L319" s="26"/>
      <c r="M319" s="26"/>
      <c r="N319" s="26"/>
      <c r="O319" s="26"/>
      <c r="P319" s="26"/>
      <c r="Q319" s="10"/>
      <c r="R319" s="9"/>
      <c r="U319" s="10"/>
      <c r="V319" s="10"/>
    </row>
    <row r="320" spans="2:22" x14ac:dyDescent="0.2">
      <c r="B320" s="8"/>
      <c r="E320" s="26"/>
      <c r="F320" s="26"/>
      <c r="G320" s="26"/>
      <c r="H320" s="26"/>
      <c r="I320" s="26"/>
      <c r="J320" s="26"/>
      <c r="K320" s="26"/>
      <c r="L320" s="26"/>
      <c r="M320" s="26"/>
      <c r="N320" s="26"/>
      <c r="O320" s="26"/>
      <c r="P320" s="26"/>
      <c r="Q320" s="10"/>
      <c r="R320" s="9"/>
      <c r="U320" s="10"/>
      <c r="V320" s="10"/>
    </row>
    <row r="321" spans="2:22" x14ac:dyDescent="0.2">
      <c r="B321" s="8"/>
      <c r="E321" s="26"/>
      <c r="F321" s="26"/>
      <c r="G321" s="26"/>
      <c r="H321" s="26"/>
      <c r="I321" s="26"/>
      <c r="J321" s="26"/>
      <c r="K321" s="26"/>
      <c r="L321" s="26"/>
      <c r="M321" s="26"/>
      <c r="N321" s="26"/>
      <c r="O321" s="26"/>
      <c r="P321" s="26"/>
      <c r="Q321" s="10"/>
      <c r="R321" s="9"/>
      <c r="U321" s="10"/>
      <c r="V321" s="10"/>
    </row>
    <row r="322" spans="2:22" x14ac:dyDescent="0.2">
      <c r="B322" s="8"/>
      <c r="E322" s="26"/>
      <c r="F322" s="26"/>
      <c r="G322" s="26"/>
      <c r="H322" s="26"/>
      <c r="I322" s="26"/>
      <c r="J322" s="26"/>
      <c r="K322" s="26"/>
      <c r="L322" s="26"/>
      <c r="M322" s="26"/>
      <c r="N322" s="26"/>
      <c r="O322" s="26"/>
      <c r="P322" s="26"/>
      <c r="Q322" s="10"/>
      <c r="R322" s="9"/>
      <c r="U322" s="10"/>
      <c r="V322" s="10"/>
    </row>
    <row r="323" spans="2:22" x14ac:dyDescent="0.2">
      <c r="B323" s="8"/>
      <c r="E323" s="26"/>
      <c r="F323" s="26"/>
      <c r="G323" s="26"/>
      <c r="H323" s="26"/>
      <c r="I323" s="26"/>
      <c r="J323" s="26"/>
      <c r="K323" s="26"/>
      <c r="L323" s="26"/>
      <c r="M323" s="26"/>
      <c r="N323" s="26"/>
      <c r="O323" s="26"/>
      <c r="P323" s="26"/>
      <c r="Q323" s="10"/>
      <c r="R323" s="9"/>
      <c r="U323" s="10"/>
      <c r="V323" s="10"/>
    </row>
    <row r="324" spans="2:22" x14ac:dyDescent="0.2">
      <c r="B324" s="8"/>
      <c r="E324" s="26"/>
      <c r="F324" s="26"/>
      <c r="G324" s="26"/>
      <c r="H324" s="26"/>
      <c r="I324" s="26"/>
      <c r="J324" s="26"/>
      <c r="K324" s="26"/>
      <c r="L324" s="26"/>
      <c r="M324" s="26"/>
      <c r="N324" s="26"/>
      <c r="O324" s="26"/>
      <c r="P324" s="26"/>
      <c r="Q324" s="10"/>
      <c r="R324" s="9"/>
      <c r="U324" s="10"/>
      <c r="V324" s="10"/>
    </row>
    <row r="325" spans="2:22" x14ac:dyDescent="0.2">
      <c r="B325" s="8"/>
      <c r="E325" s="26"/>
      <c r="F325" s="26"/>
      <c r="G325" s="26"/>
      <c r="H325" s="26"/>
      <c r="I325" s="26"/>
      <c r="J325" s="26"/>
      <c r="K325" s="26"/>
      <c r="L325" s="26"/>
      <c r="M325" s="26"/>
      <c r="N325" s="26"/>
      <c r="O325" s="26"/>
      <c r="P325" s="26"/>
      <c r="Q325" s="10"/>
      <c r="R325" s="9"/>
      <c r="U325" s="10"/>
      <c r="V325" s="10"/>
    </row>
    <row r="326" spans="2:22" x14ac:dyDescent="0.2">
      <c r="B326" s="8"/>
      <c r="E326" s="26"/>
      <c r="F326" s="26"/>
      <c r="G326" s="26"/>
      <c r="H326" s="26"/>
      <c r="I326" s="26"/>
      <c r="J326" s="26"/>
      <c r="K326" s="26"/>
      <c r="L326" s="26"/>
      <c r="M326" s="26"/>
      <c r="N326" s="26"/>
      <c r="O326" s="26"/>
      <c r="P326" s="26"/>
      <c r="Q326" s="10"/>
      <c r="R326" s="9"/>
      <c r="U326" s="10"/>
      <c r="V326" s="10"/>
    </row>
    <row r="327" spans="2:22" x14ac:dyDescent="0.2">
      <c r="B327" s="8"/>
      <c r="E327" s="26"/>
      <c r="F327" s="26"/>
      <c r="G327" s="26"/>
      <c r="H327" s="26"/>
      <c r="I327" s="26"/>
      <c r="J327" s="26"/>
      <c r="K327" s="26"/>
      <c r="L327" s="26"/>
      <c r="M327" s="26"/>
      <c r="N327" s="26"/>
      <c r="O327" s="26"/>
      <c r="P327" s="26"/>
      <c r="Q327" s="10"/>
      <c r="R327" s="9"/>
      <c r="U327" s="10"/>
      <c r="V327" s="10"/>
    </row>
    <row r="328" spans="2:22" x14ac:dyDescent="0.2">
      <c r="B328" s="8"/>
      <c r="E328" s="26"/>
      <c r="F328" s="26"/>
      <c r="G328" s="26"/>
      <c r="H328" s="26"/>
      <c r="I328" s="26"/>
      <c r="J328" s="26"/>
      <c r="K328" s="26"/>
      <c r="L328" s="26"/>
      <c r="M328" s="26"/>
      <c r="N328" s="26"/>
      <c r="O328" s="26"/>
      <c r="P328" s="26"/>
      <c r="Q328" s="10"/>
      <c r="R328" s="9"/>
      <c r="U328" s="10"/>
      <c r="V328" s="10"/>
    </row>
    <row r="329" spans="2:22" x14ac:dyDescent="0.2">
      <c r="B329" s="8"/>
      <c r="E329" s="26"/>
      <c r="F329" s="26"/>
      <c r="G329" s="26"/>
      <c r="H329" s="26"/>
      <c r="I329" s="26"/>
      <c r="J329" s="26"/>
      <c r="K329" s="26"/>
      <c r="L329" s="26"/>
      <c r="M329" s="26"/>
      <c r="N329" s="26"/>
      <c r="O329" s="26"/>
      <c r="P329" s="26"/>
      <c r="Q329" s="10"/>
      <c r="R329" s="9"/>
      <c r="U329" s="10"/>
      <c r="V329" s="10"/>
    </row>
    <row r="330" spans="2:22" x14ac:dyDescent="0.2">
      <c r="B330" s="8"/>
      <c r="E330" s="26"/>
      <c r="F330" s="26"/>
      <c r="G330" s="26"/>
      <c r="H330" s="26"/>
      <c r="I330" s="26"/>
      <c r="J330" s="26"/>
      <c r="K330" s="26"/>
      <c r="L330" s="26"/>
      <c r="M330" s="26"/>
      <c r="N330" s="26"/>
      <c r="O330" s="26"/>
      <c r="P330" s="26"/>
      <c r="Q330" s="10"/>
      <c r="R330" s="9"/>
      <c r="U330" s="10"/>
      <c r="V330" s="10"/>
    </row>
    <row r="331" spans="2:22" x14ac:dyDescent="0.2">
      <c r="B331" s="8"/>
      <c r="E331" s="26"/>
      <c r="F331" s="26"/>
      <c r="G331" s="26"/>
      <c r="H331" s="26"/>
      <c r="I331" s="26"/>
      <c r="J331" s="26"/>
      <c r="K331" s="26"/>
      <c r="L331" s="26"/>
      <c r="M331" s="26"/>
      <c r="N331" s="26"/>
      <c r="O331" s="26"/>
      <c r="P331" s="26"/>
      <c r="Q331" s="10"/>
      <c r="R331" s="9"/>
      <c r="U331" s="10"/>
      <c r="V331" s="10"/>
    </row>
    <row r="332" spans="2:22" x14ac:dyDescent="0.2">
      <c r="B332" s="8"/>
      <c r="E332" s="26"/>
      <c r="F332" s="26"/>
      <c r="G332" s="26"/>
      <c r="H332" s="26"/>
      <c r="I332" s="26"/>
      <c r="J332" s="26"/>
      <c r="K332" s="26"/>
      <c r="L332" s="26"/>
      <c r="M332" s="26"/>
      <c r="N332" s="26"/>
      <c r="O332" s="26"/>
      <c r="P332" s="26"/>
      <c r="Q332" s="10"/>
      <c r="R332" s="9"/>
      <c r="U332" s="10"/>
      <c r="V332" s="10"/>
    </row>
    <row r="333" spans="2:22" x14ac:dyDescent="0.2">
      <c r="B333" s="8"/>
      <c r="E333" s="26"/>
      <c r="F333" s="26"/>
      <c r="G333" s="26"/>
      <c r="H333" s="26"/>
      <c r="I333" s="26"/>
      <c r="J333" s="26"/>
      <c r="K333" s="26"/>
      <c r="L333" s="26"/>
      <c r="M333" s="26"/>
      <c r="N333" s="26"/>
      <c r="O333" s="26"/>
      <c r="P333" s="26"/>
      <c r="Q333" s="10"/>
      <c r="R333" s="9"/>
      <c r="U333" s="10"/>
      <c r="V333" s="10"/>
    </row>
    <row r="334" spans="2:22" x14ac:dyDescent="0.2">
      <c r="B334" s="8"/>
      <c r="E334" s="26"/>
      <c r="F334" s="26"/>
      <c r="G334" s="26"/>
      <c r="H334" s="26"/>
      <c r="I334" s="26"/>
      <c r="J334" s="26"/>
      <c r="K334" s="26"/>
      <c r="L334" s="26"/>
      <c r="M334" s="26"/>
      <c r="N334" s="26"/>
      <c r="O334" s="26"/>
      <c r="P334" s="26"/>
      <c r="Q334" s="10"/>
      <c r="R334" s="9"/>
      <c r="U334" s="10"/>
      <c r="V334" s="10"/>
    </row>
    <row r="335" spans="2:22" x14ac:dyDescent="0.2">
      <c r="B335" s="8"/>
      <c r="E335" s="26"/>
      <c r="F335" s="26"/>
      <c r="G335" s="26"/>
      <c r="H335" s="26"/>
      <c r="I335" s="26"/>
      <c r="J335" s="26"/>
      <c r="K335" s="26"/>
      <c r="L335" s="26"/>
      <c r="M335" s="26"/>
      <c r="N335" s="26"/>
      <c r="O335" s="26"/>
      <c r="P335" s="26"/>
      <c r="Q335" s="10"/>
      <c r="R335" s="9"/>
      <c r="U335" s="10"/>
      <c r="V335" s="10"/>
    </row>
    <row r="336" spans="2:22" x14ac:dyDescent="0.2">
      <c r="B336" s="8"/>
      <c r="E336" s="26"/>
      <c r="F336" s="26"/>
      <c r="G336" s="26"/>
      <c r="H336" s="26"/>
      <c r="I336" s="26"/>
      <c r="J336" s="26"/>
      <c r="K336" s="26"/>
      <c r="L336" s="26"/>
      <c r="M336" s="26"/>
      <c r="N336" s="26"/>
      <c r="O336" s="26"/>
      <c r="P336" s="26"/>
      <c r="Q336" s="10"/>
      <c r="R336" s="9"/>
      <c r="U336" s="10"/>
      <c r="V336" s="10"/>
    </row>
    <row r="337" spans="2:22" x14ac:dyDescent="0.2">
      <c r="B337" s="8"/>
      <c r="E337" s="26"/>
      <c r="F337" s="26"/>
      <c r="G337" s="26"/>
      <c r="H337" s="26"/>
      <c r="I337" s="26"/>
      <c r="J337" s="26"/>
      <c r="K337" s="26"/>
      <c r="L337" s="26"/>
      <c r="M337" s="26"/>
      <c r="N337" s="26"/>
      <c r="O337" s="26"/>
      <c r="P337" s="26"/>
      <c r="Q337" s="10"/>
      <c r="R337" s="9"/>
      <c r="U337" s="10"/>
      <c r="V337" s="10"/>
    </row>
    <row r="338" spans="2:22" x14ac:dyDescent="0.2">
      <c r="B338" s="8"/>
      <c r="E338" s="26"/>
      <c r="F338" s="26"/>
      <c r="G338" s="26"/>
      <c r="H338" s="26"/>
      <c r="I338" s="26"/>
      <c r="J338" s="26"/>
      <c r="K338" s="26"/>
      <c r="L338" s="26"/>
      <c r="M338" s="26"/>
      <c r="N338" s="26"/>
      <c r="O338" s="26"/>
      <c r="P338" s="26"/>
      <c r="Q338" s="10"/>
      <c r="R338" s="9"/>
      <c r="U338" s="10"/>
      <c r="V338" s="10"/>
    </row>
    <row r="339" spans="2:22" x14ac:dyDescent="0.2">
      <c r="B339" s="8"/>
      <c r="E339" s="26"/>
      <c r="F339" s="26"/>
      <c r="G339" s="26"/>
      <c r="H339" s="26"/>
      <c r="I339" s="26"/>
      <c r="J339" s="26"/>
      <c r="K339" s="26"/>
      <c r="L339" s="26"/>
      <c r="M339" s="26"/>
      <c r="N339" s="26"/>
      <c r="O339" s="26"/>
      <c r="P339" s="26"/>
      <c r="Q339" s="10"/>
      <c r="R339" s="9"/>
      <c r="U339" s="10"/>
      <c r="V339" s="10"/>
    </row>
    <row r="340" spans="2:22" x14ac:dyDescent="0.2">
      <c r="B340" s="8"/>
      <c r="E340" s="26"/>
      <c r="F340" s="26"/>
      <c r="G340" s="26"/>
      <c r="H340" s="26"/>
      <c r="I340" s="26"/>
      <c r="J340" s="26"/>
      <c r="K340" s="26"/>
      <c r="L340" s="26"/>
      <c r="M340" s="26"/>
      <c r="N340" s="26"/>
      <c r="O340" s="26"/>
      <c r="P340" s="26"/>
      <c r="Q340" s="10"/>
      <c r="R340" s="9"/>
      <c r="U340" s="10"/>
      <c r="V340" s="10"/>
    </row>
    <row r="341" spans="2:22" x14ac:dyDescent="0.2">
      <c r="B341" s="8"/>
      <c r="E341" s="26"/>
      <c r="F341" s="26"/>
      <c r="G341" s="26"/>
      <c r="H341" s="26"/>
      <c r="I341" s="26"/>
      <c r="J341" s="26"/>
      <c r="K341" s="26"/>
      <c r="L341" s="26"/>
      <c r="M341" s="26"/>
      <c r="N341" s="26"/>
      <c r="O341" s="26"/>
      <c r="P341" s="26"/>
      <c r="Q341" s="10"/>
      <c r="R341" s="9"/>
      <c r="U341" s="10"/>
      <c r="V341" s="10"/>
    </row>
    <row r="342" spans="2:22" x14ac:dyDescent="0.2">
      <c r="B342" s="8"/>
      <c r="E342" s="26"/>
      <c r="F342" s="26"/>
      <c r="G342" s="26"/>
      <c r="H342" s="26"/>
      <c r="I342" s="26"/>
      <c r="J342" s="26"/>
      <c r="K342" s="26"/>
      <c r="L342" s="26"/>
      <c r="M342" s="26"/>
      <c r="N342" s="26"/>
      <c r="O342" s="26"/>
      <c r="P342" s="26"/>
      <c r="Q342" s="10"/>
      <c r="R342" s="9"/>
      <c r="U342" s="10"/>
      <c r="V342" s="10"/>
    </row>
    <row r="343" spans="2:22" x14ac:dyDescent="0.2">
      <c r="B343" s="8"/>
      <c r="E343" s="26"/>
      <c r="F343" s="26"/>
      <c r="G343" s="26"/>
      <c r="H343" s="26"/>
      <c r="I343" s="26"/>
      <c r="J343" s="26"/>
      <c r="K343" s="26"/>
      <c r="L343" s="26"/>
      <c r="M343" s="26"/>
      <c r="N343" s="26"/>
      <c r="O343" s="26"/>
      <c r="P343" s="26"/>
      <c r="Q343" s="10"/>
      <c r="R343" s="9"/>
      <c r="U343" s="10"/>
      <c r="V343" s="10"/>
    </row>
    <row r="344" spans="2:22" x14ac:dyDescent="0.2">
      <c r="B344" s="8"/>
      <c r="E344" s="26"/>
      <c r="F344" s="26"/>
      <c r="G344" s="26"/>
      <c r="H344" s="26"/>
      <c r="I344" s="26"/>
      <c r="J344" s="26"/>
      <c r="K344" s="26"/>
      <c r="L344" s="26"/>
      <c r="M344" s="26"/>
      <c r="N344" s="26"/>
      <c r="O344" s="26"/>
      <c r="P344" s="26"/>
      <c r="Q344" s="10"/>
      <c r="R344" s="9"/>
      <c r="U344" s="10"/>
      <c r="V344" s="10"/>
    </row>
    <row r="345" spans="2:22" x14ac:dyDescent="0.2">
      <c r="B345" s="8"/>
      <c r="E345" s="26"/>
      <c r="F345" s="26"/>
      <c r="G345" s="26"/>
      <c r="H345" s="26"/>
      <c r="I345" s="26"/>
      <c r="J345" s="26"/>
      <c r="K345" s="26"/>
      <c r="L345" s="26"/>
      <c r="M345" s="26"/>
      <c r="N345" s="26"/>
      <c r="O345" s="26"/>
      <c r="P345" s="26"/>
      <c r="Q345" s="10"/>
      <c r="R345" s="9"/>
      <c r="U345" s="10"/>
      <c r="V345" s="10"/>
    </row>
    <row r="346" spans="2:22" x14ac:dyDescent="0.2">
      <c r="B346" s="8"/>
      <c r="E346" s="26"/>
      <c r="F346" s="26"/>
      <c r="G346" s="26"/>
      <c r="H346" s="26"/>
      <c r="I346" s="26"/>
      <c r="J346" s="26"/>
      <c r="K346" s="26"/>
      <c r="L346" s="26"/>
      <c r="M346" s="26"/>
      <c r="N346" s="26"/>
      <c r="O346" s="26"/>
      <c r="P346" s="26"/>
      <c r="Q346" s="10"/>
      <c r="R346" s="9"/>
      <c r="U346" s="10"/>
      <c r="V346" s="10"/>
    </row>
    <row r="347" spans="2:22" x14ac:dyDescent="0.2">
      <c r="B347" s="8"/>
      <c r="E347" s="26"/>
      <c r="F347" s="26"/>
      <c r="G347" s="26"/>
      <c r="H347" s="26"/>
      <c r="I347" s="26"/>
      <c r="J347" s="26"/>
      <c r="K347" s="26"/>
      <c r="L347" s="26"/>
      <c r="M347" s="26"/>
      <c r="N347" s="26"/>
      <c r="O347" s="26"/>
      <c r="P347" s="26"/>
      <c r="Q347" s="10"/>
      <c r="R347" s="9"/>
      <c r="U347" s="10"/>
      <c r="V347" s="10"/>
    </row>
    <row r="348" spans="2:22" x14ac:dyDescent="0.2">
      <c r="B348" s="8"/>
      <c r="E348" s="26"/>
      <c r="F348" s="26"/>
      <c r="G348" s="26"/>
      <c r="H348" s="26"/>
      <c r="I348" s="26"/>
      <c r="J348" s="26"/>
      <c r="K348" s="26"/>
      <c r="L348" s="26"/>
      <c r="M348" s="26"/>
      <c r="N348" s="26"/>
      <c r="O348" s="26"/>
      <c r="P348" s="26"/>
      <c r="Q348" s="10"/>
      <c r="R348" s="9"/>
      <c r="U348" s="10"/>
      <c r="V348" s="10"/>
    </row>
    <row r="349" spans="2:22" x14ac:dyDescent="0.2">
      <c r="B349" s="8"/>
      <c r="E349" s="26"/>
      <c r="F349" s="26"/>
      <c r="G349" s="26"/>
      <c r="H349" s="26"/>
      <c r="I349" s="26"/>
      <c r="J349" s="26"/>
      <c r="K349" s="26"/>
      <c r="L349" s="26"/>
      <c r="M349" s="26"/>
      <c r="N349" s="26"/>
      <c r="O349" s="26"/>
      <c r="P349" s="26"/>
      <c r="Q349" s="10"/>
      <c r="R349" s="9"/>
      <c r="U349" s="10"/>
      <c r="V349" s="10"/>
    </row>
    <row r="350" spans="2:22" x14ac:dyDescent="0.2">
      <c r="B350" s="8"/>
      <c r="E350" s="26"/>
      <c r="F350" s="26"/>
      <c r="G350" s="26"/>
      <c r="H350" s="26"/>
      <c r="I350" s="26"/>
      <c r="J350" s="26"/>
      <c r="K350" s="26"/>
      <c r="L350" s="26"/>
      <c r="M350" s="26"/>
      <c r="N350" s="26"/>
      <c r="O350" s="26"/>
      <c r="P350" s="26"/>
      <c r="Q350" s="10"/>
      <c r="R350" s="9"/>
      <c r="U350" s="10"/>
      <c r="V350" s="10"/>
    </row>
    <row r="351" spans="2:22" x14ac:dyDescent="0.2">
      <c r="B351" s="8"/>
      <c r="E351" s="26"/>
      <c r="F351" s="26"/>
      <c r="G351" s="26"/>
      <c r="H351" s="26"/>
      <c r="I351" s="26"/>
      <c r="J351" s="26"/>
      <c r="K351" s="26"/>
      <c r="L351" s="26"/>
      <c r="M351" s="26"/>
      <c r="N351" s="26"/>
      <c r="O351" s="26"/>
      <c r="P351" s="26"/>
      <c r="Q351" s="10"/>
      <c r="R351" s="9"/>
      <c r="U351" s="10"/>
      <c r="V351" s="10"/>
    </row>
    <row r="352" spans="2:22" x14ac:dyDescent="0.2">
      <c r="B352" s="8"/>
      <c r="E352" s="26"/>
      <c r="F352" s="26"/>
      <c r="G352" s="26"/>
      <c r="H352" s="26"/>
      <c r="I352" s="26"/>
      <c r="J352" s="26"/>
      <c r="K352" s="26"/>
      <c r="L352" s="26"/>
      <c r="M352" s="26"/>
      <c r="N352" s="26"/>
      <c r="O352" s="26"/>
      <c r="P352" s="26"/>
      <c r="Q352" s="10"/>
      <c r="R352" s="9"/>
      <c r="U352" s="10"/>
      <c r="V352" s="10"/>
    </row>
    <row r="353" spans="2:22" x14ac:dyDescent="0.2">
      <c r="B353" s="8"/>
      <c r="E353" s="26"/>
      <c r="F353" s="26"/>
      <c r="G353" s="26"/>
      <c r="H353" s="26"/>
      <c r="I353" s="26"/>
      <c r="J353" s="26"/>
      <c r="K353" s="26"/>
      <c r="L353" s="26"/>
      <c r="M353" s="26"/>
      <c r="N353" s="26"/>
      <c r="O353" s="26"/>
      <c r="P353" s="26"/>
      <c r="Q353" s="10"/>
      <c r="R353" s="9"/>
      <c r="U353" s="10"/>
      <c r="V353" s="10"/>
    </row>
    <row r="354" spans="2:22" x14ac:dyDescent="0.2">
      <c r="B354" s="8"/>
      <c r="E354" s="26"/>
      <c r="F354" s="26"/>
      <c r="G354" s="26"/>
      <c r="H354" s="26"/>
      <c r="I354" s="26"/>
      <c r="J354" s="26"/>
      <c r="K354" s="26"/>
      <c r="L354" s="26"/>
      <c r="M354" s="26"/>
      <c r="N354" s="26"/>
      <c r="O354" s="26"/>
      <c r="P354" s="26"/>
      <c r="Q354" s="10"/>
      <c r="R354" s="9"/>
      <c r="U354" s="10"/>
      <c r="V354" s="10"/>
    </row>
    <row r="355" spans="2:22" x14ac:dyDescent="0.2">
      <c r="B355" s="8"/>
      <c r="E355" s="26"/>
      <c r="F355" s="26"/>
      <c r="G355" s="26"/>
      <c r="H355" s="26"/>
      <c r="I355" s="26"/>
      <c r="J355" s="26"/>
      <c r="K355" s="26"/>
      <c r="L355" s="26"/>
      <c r="M355" s="26"/>
      <c r="N355" s="26"/>
      <c r="O355" s="26"/>
      <c r="P355" s="26"/>
      <c r="Q355" s="10"/>
      <c r="R355" s="9"/>
      <c r="U355" s="10"/>
      <c r="V355" s="10"/>
    </row>
    <row r="356" spans="2:22" x14ac:dyDescent="0.2">
      <c r="B356" s="8"/>
      <c r="E356" s="26"/>
      <c r="F356" s="26"/>
      <c r="G356" s="26"/>
      <c r="H356" s="26"/>
      <c r="I356" s="26"/>
      <c r="J356" s="26"/>
      <c r="K356" s="26"/>
      <c r="L356" s="26"/>
      <c r="M356" s="26"/>
      <c r="N356" s="26"/>
      <c r="O356" s="26"/>
      <c r="P356" s="26"/>
      <c r="Q356" s="10"/>
      <c r="R356" s="9"/>
      <c r="U356" s="10"/>
      <c r="V356" s="10"/>
    </row>
    <row r="357" spans="2:22" x14ac:dyDescent="0.2">
      <c r="B357" s="8"/>
      <c r="E357" s="26"/>
      <c r="F357" s="26"/>
      <c r="G357" s="26"/>
      <c r="H357" s="26"/>
      <c r="I357" s="26"/>
      <c r="J357" s="26"/>
      <c r="K357" s="26"/>
      <c r="L357" s="26"/>
      <c r="M357" s="26"/>
      <c r="N357" s="26"/>
      <c r="O357" s="26"/>
      <c r="P357" s="26"/>
      <c r="Q357" s="10"/>
      <c r="R357" s="9"/>
      <c r="U357" s="10"/>
      <c r="V357" s="10"/>
    </row>
    <row r="358" spans="2:22" x14ac:dyDescent="0.2">
      <c r="B358" s="8"/>
      <c r="E358" s="26"/>
      <c r="F358" s="26"/>
      <c r="G358" s="26"/>
      <c r="H358" s="26"/>
      <c r="I358" s="26"/>
      <c r="J358" s="26"/>
      <c r="K358" s="26"/>
      <c r="L358" s="26"/>
      <c r="M358" s="26"/>
      <c r="N358" s="26"/>
      <c r="O358" s="26"/>
      <c r="P358" s="26"/>
      <c r="Q358" s="10"/>
      <c r="R358" s="9"/>
      <c r="U358" s="10"/>
      <c r="V358" s="10"/>
    </row>
    <row r="359" spans="2:22" x14ac:dyDescent="0.2">
      <c r="B359" s="8"/>
      <c r="E359" s="26"/>
      <c r="F359" s="26"/>
      <c r="G359" s="26"/>
      <c r="H359" s="26"/>
      <c r="I359" s="26"/>
      <c r="J359" s="26"/>
      <c r="K359" s="26"/>
      <c r="L359" s="26"/>
      <c r="M359" s="26"/>
      <c r="N359" s="26"/>
      <c r="O359" s="26"/>
      <c r="P359" s="26"/>
      <c r="Q359" s="10"/>
      <c r="R359" s="9"/>
      <c r="U359" s="10"/>
      <c r="V359" s="10"/>
    </row>
    <row r="360" spans="2:22" x14ac:dyDescent="0.2">
      <c r="B360" s="8"/>
      <c r="E360" s="26"/>
      <c r="F360" s="26"/>
      <c r="G360" s="26"/>
      <c r="H360" s="26"/>
      <c r="I360" s="26"/>
      <c r="J360" s="26"/>
      <c r="K360" s="26"/>
      <c r="L360" s="26"/>
      <c r="M360" s="26"/>
      <c r="N360" s="26"/>
      <c r="O360" s="26"/>
      <c r="P360" s="26"/>
      <c r="Q360" s="10"/>
      <c r="R360" s="9"/>
      <c r="U360" s="10"/>
      <c r="V360" s="10"/>
    </row>
    <row r="361" spans="2:22" x14ac:dyDescent="0.2">
      <c r="B361" s="8"/>
      <c r="E361" s="26"/>
      <c r="F361" s="26"/>
      <c r="G361" s="26"/>
      <c r="H361" s="26"/>
      <c r="I361" s="26"/>
      <c r="J361" s="26"/>
      <c r="K361" s="26"/>
      <c r="L361" s="26"/>
      <c r="M361" s="26"/>
      <c r="N361" s="26"/>
      <c r="O361" s="26"/>
      <c r="P361" s="26"/>
      <c r="Q361" s="10"/>
      <c r="R361" s="9"/>
      <c r="U361" s="10"/>
      <c r="V361" s="10"/>
    </row>
    <row r="362" spans="2:22" x14ac:dyDescent="0.2">
      <c r="B362" s="8"/>
      <c r="E362" s="26"/>
      <c r="F362" s="26"/>
      <c r="G362" s="26"/>
      <c r="H362" s="26"/>
      <c r="I362" s="26"/>
      <c r="J362" s="26"/>
      <c r="K362" s="26"/>
      <c r="L362" s="26"/>
      <c r="M362" s="26"/>
      <c r="N362" s="26"/>
      <c r="O362" s="26"/>
      <c r="P362" s="26"/>
      <c r="Q362" s="10"/>
      <c r="R362" s="9"/>
      <c r="U362" s="10"/>
      <c r="V362" s="10"/>
    </row>
    <row r="363" spans="2:22" x14ac:dyDescent="0.2">
      <c r="B363" s="8"/>
      <c r="E363" s="26"/>
      <c r="F363" s="26"/>
      <c r="G363" s="26"/>
      <c r="H363" s="26"/>
      <c r="I363" s="26"/>
      <c r="J363" s="26"/>
      <c r="K363" s="26"/>
      <c r="L363" s="26"/>
      <c r="M363" s="26"/>
      <c r="N363" s="26"/>
      <c r="O363" s="26"/>
      <c r="P363" s="26"/>
      <c r="Q363" s="10"/>
      <c r="R363" s="9"/>
      <c r="U363" s="10"/>
      <c r="V363" s="10"/>
    </row>
    <row r="364" spans="2:22" x14ac:dyDescent="0.2">
      <c r="B364" s="8"/>
      <c r="E364" s="26"/>
      <c r="F364" s="26"/>
      <c r="G364" s="26"/>
      <c r="H364" s="26"/>
      <c r="I364" s="26"/>
      <c r="J364" s="26"/>
      <c r="K364" s="26"/>
      <c r="L364" s="26"/>
      <c r="M364" s="26"/>
      <c r="N364" s="26"/>
      <c r="O364" s="26"/>
      <c r="P364" s="26"/>
      <c r="Q364" s="10"/>
      <c r="R364" s="9"/>
      <c r="U364" s="10"/>
      <c r="V364" s="10"/>
    </row>
    <row r="365" spans="2:22" x14ac:dyDescent="0.2">
      <c r="B365" s="8"/>
      <c r="E365" s="26"/>
      <c r="F365" s="26"/>
      <c r="G365" s="26"/>
      <c r="H365" s="26"/>
      <c r="I365" s="26"/>
      <c r="J365" s="26"/>
      <c r="K365" s="26"/>
      <c r="L365" s="26"/>
      <c r="M365" s="26"/>
      <c r="N365" s="26"/>
      <c r="O365" s="26"/>
      <c r="P365" s="26"/>
      <c r="Q365" s="10"/>
      <c r="R365" s="9"/>
      <c r="U365" s="10"/>
      <c r="V365" s="10"/>
    </row>
    <row r="366" spans="2:22" x14ac:dyDescent="0.2">
      <c r="B366" s="8"/>
      <c r="E366" s="26"/>
      <c r="F366" s="26"/>
      <c r="G366" s="26"/>
      <c r="H366" s="26"/>
      <c r="I366" s="26"/>
      <c r="J366" s="26"/>
      <c r="K366" s="26"/>
      <c r="L366" s="26"/>
      <c r="M366" s="26"/>
      <c r="N366" s="26"/>
      <c r="O366" s="26"/>
      <c r="P366" s="26"/>
      <c r="Q366" s="10"/>
      <c r="R366" s="9"/>
      <c r="U366" s="10"/>
      <c r="V366" s="10"/>
    </row>
    <row r="367" spans="2:22" x14ac:dyDescent="0.2">
      <c r="B367" s="8"/>
      <c r="E367" s="26"/>
      <c r="F367" s="26"/>
      <c r="G367" s="26"/>
      <c r="H367" s="26"/>
      <c r="I367" s="26"/>
      <c r="J367" s="26"/>
      <c r="K367" s="26"/>
      <c r="L367" s="26"/>
      <c r="M367" s="26"/>
      <c r="N367" s="26"/>
      <c r="O367" s="26"/>
      <c r="P367" s="26"/>
      <c r="Q367" s="10"/>
      <c r="R367" s="9"/>
      <c r="U367" s="10"/>
      <c r="V367" s="10"/>
    </row>
    <row r="368" spans="2:22" x14ac:dyDescent="0.2">
      <c r="B368" s="8"/>
      <c r="E368" s="26"/>
      <c r="F368" s="26"/>
      <c r="G368" s="26"/>
      <c r="H368" s="26"/>
      <c r="I368" s="26"/>
      <c r="J368" s="26"/>
      <c r="K368" s="26"/>
      <c r="L368" s="26"/>
      <c r="M368" s="26"/>
      <c r="N368" s="26"/>
      <c r="O368" s="26"/>
      <c r="P368" s="26"/>
      <c r="Q368" s="10"/>
      <c r="R368" s="9"/>
      <c r="U368" s="10"/>
      <c r="V368" s="10"/>
    </row>
    <row r="369" spans="2:22" x14ac:dyDescent="0.2">
      <c r="B369" s="8"/>
      <c r="E369" s="26"/>
      <c r="F369" s="26"/>
      <c r="G369" s="26"/>
      <c r="H369" s="26"/>
      <c r="I369" s="26"/>
      <c r="J369" s="26"/>
      <c r="K369" s="26"/>
      <c r="L369" s="26"/>
      <c r="M369" s="26"/>
      <c r="N369" s="26"/>
      <c r="O369" s="26"/>
      <c r="P369" s="26"/>
      <c r="Q369" s="10"/>
      <c r="R369" s="9"/>
      <c r="U369" s="10"/>
      <c r="V369" s="10"/>
    </row>
    <row r="370" spans="2:22" x14ac:dyDescent="0.2">
      <c r="B370" s="8"/>
      <c r="E370" s="26"/>
      <c r="F370" s="26"/>
      <c r="G370" s="26"/>
      <c r="H370" s="26"/>
      <c r="I370" s="26"/>
      <c r="J370" s="26"/>
      <c r="K370" s="26"/>
      <c r="L370" s="26"/>
      <c r="M370" s="26"/>
      <c r="N370" s="26"/>
      <c r="O370" s="26"/>
      <c r="P370" s="26"/>
      <c r="Q370" s="10"/>
      <c r="R370" s="9"/>
      <c r="U370" s="10"/>
      <c r="V370" s="10"/>
    </row>
    <row r="371" spans="2:22" x14ac:dyDescent="0.2">
      <c r="B371" s="8"/>
      <c r="E371" s="26"/>
      <c r="F371" s="26"/>
      <c r="G371" s="26"/>
      <c r="H371" s="26"/>
      <c r="I371" s="26"/>
      <c r="J371" s="26"/>
      <c r="K371" s="26"/>
      <c r="L371" s="26"/>
      <c r="M371" s="26"/>
      <c r="N371" s="26"/>
      <c r="O371" s="26"/>
      <c r="P371" s="26"/>
      <c r="Q371" s="10"/>
      <c r="R371" s="9"/>
      <c r="U371" s="10"/>
      <c r="V371" s="10"/>
    </row>
    <row r="372" spans="2:22" x14ac:dyDescent="0.2">
      <c r="B372" s="8"/>
      <c r="E372" s="26"/>
      <c r="F372" s="26"/>
      <c r="G372" s="26"/>
      <c r="H372" s="26"/>
      <c r="I372" s="26"/>
      <c r="J372" s="26"/>
      <c r="K372" s="26"/>
      <c r="L372" s="26"/>
      <c r="M372" s="26"/>
      <c r="N372" s="26"/>
      <c r="O372" s="26"/>
      <c r="P372" s="26"/>
      <c r="Q372" s="10"/>
      <c r="R372" s="9"/>
      <c r="U372" s="10"/>
      <c r="V372" s="10"/>
    </row>
    <row r="373" spans="2:22" x14ac:dyDescent="0.2">
      <c r="B373" s="8"/>
      <c r="E373" s="26"/>
      <c r="F373" s="26"/>
      <c r="G373" s="26"/>
      <c r="H373" s="26"/>
      <c r="I373" s="26"/>
      <c r="J373" s="26"/>
      <c r="K373" s="26"/>
      <c r="L373" s="26"/>
      <c r="M373" s="26"/>
      <c r="N373" s="26"/>
      <c r="O373" s="26"/>
      <c r="P373" s="26"/>
      <c r="Q373" s="10"/>
      <c r="R373" s="9"/>
      <c r="U373" s="10"/>
      <c r="V373" s="10"/>
    </row>
    <row r="374" spans="2:22" x14ac:dyDescent="0.2">
      <c r="B374" s="8"/>
      <c r="E374" s="26"/>
      <c r="F374" s="26"/>
      <c r="G374" s="26"/>
      <c r="H374" s="26"/>
      <c r="I374" s="26"/>
      <c r="J374" s="26"/>
      <c r="K374" s="26"/>
      <c r="L374" s="26"/>
      <c r="M374" s="26"/>
      <c r="N374" s="26"/>
      <c r="O374" s="26"/>
      <c r="P374" s="26"/>
      <c r="Q374" s="10"/>
      <c r="R374" s="9"/>
      <c r="U374" s="10"/>
      <c r="V374" s="10"/>
    </row>
    <row r="375" spans="2:22" x14ac:dyDescent="0.2">
      <c r="B375" s="8"/>
      <c r="E375" s="26"/>
      <c r="F375" s="26"/>
      <c r="G375" s="26"/>
      <c r="H375" s="26"/>
      <c r="I375" s="26"/>
      <c r="J375" s="26"/>
      <c r="K375" s="26"/>
      <c r="L375" s="26"/>
      <c r="M375" s="26"/>
      <c r="N375" s="26"/>
      <c r="O375" s="26"/>
      <c r="P375" s="26"/>
      <c r="Q375" s="10"/>
      <c r="R375" s="9"/>
      <c r="U375" s="10"/>
      <c r="V375" s="10"/>
    </row>
    <row r="376" spans="2:22" x14ac:dyDescent="0.2">
      <c r="B376" s="8"/>
      <c r="E376" s="26"/>
      <c r="F376" s="26"/>
      <c r="G376" s="26"/>
      <c r="H376" s="26"/>
      <c r="I376" s="26"/>
      <c r="J376" s="26"/>
      <c r="K376" s="26"/>
      <c r="L376" s="26"/>
      <c r="M376" s="26"/>
      <c r="N376" s="26"/>
      <c r="O376" s="26"/>
      <c r="P376" s="26"/>
      <c r="Q376" s="10"/>
      <c r="R376" s="9"/>
      <c r="U376" s="10"/>
      <c r="V376" s="10"/>
    </row>
    <row r="377" spans="2:22" x14ac:dyDescent="0.2">
      <c r="B377" s="8"/>
      <c r="E377" s="26"/>
      <c r="F377" s="26"/>
      <c r="G377" s="26"/>
      <c r="H377" s="26"/>
      <c r="I377" s="26"/>
      <c r="J377" s="26"/>
      <c r="K377" s="26"/>
      <c r="L377" s="26"/>
      <c r="M377" s="26"/>
      <c r="N377" s="26"/>
      <c r="O377" s="26"/>
      <c r="P377" s="26"/>
      <c r="Q377" s="10"/>
      <c r="R377" s="9"/>
      <c r="U377" s="10"/>
      <c r="V377" s="10"/>
    </row>
    <row r="378" spans="2:22" x14ac:dyDescent="0.2">
      <c r="B378" s="8"/>
      <c r="E378" s="26"/>
      <c r="F378" s="26"/>
      <c r="G378" s="26"/>
      <c r="H378" s="26"/>
      <c r="I378" s="26"/>
      <c r="J378" s="26"/>
      <c r="K378" s="26"/>
      <c r="L378" s="26"/>
      <c r="M378" s="26"/>
      <c r="N378" s="26"/>
      <c r="O378" s="26"/>
      <c r="P378" s="26"/>
      <c r="Q378" s="10"/>
      <c r="R378" s="9"/>
      <c r="U378" s="10"/>
      <c r="V378" s="10"/>
    </row>
    <row r="379" spans="2:22" x14ac:dyDescent="0.2">
      <c r="B379" s="8"/>
      <c r="E379" s="26"/>
      <c r="F379" s="26"/>
      <c r="G379" s="26"/>
      <c r="H379" s="26"/>
      <c r="I379" s="26"/>
      <c r="J379" s="26"/>
      <c r="K379" s="26"/>
      <c r="L379" s="26"/>
      <c r="M379" s="26"/>
      <c r="N379" s="26"/>
      <c r="O379" s="26"/>
      <c r="P379" s="26"/>
      <c r="Q379" s="10"/>
      <c r="R379" s="9"/>
      <c r="U379" s="10"/>
      <c r="V379" s="10"/>
    </row>
    <row r="380" spans="2:22" x14ac:dyDescent="0.2">
      <c r="B380" s="8"/>
      <c r="E380" s="26"/>
      <c r="F380" s="26"/>
      <c r="G380" s="26"/>
      <c r="H380" s="26"/>
      <c r="I380" s="26"/>
      <c r="J380" s="26"/>
      <c r="K380" s="26"/>
      <c r="L380" s="26"/>
      <c r="M380" s="26"/>
      <c r="N380" s="26"/>
      <c r="O380" s="26"/>
      <c r="P380" s="26"/>
      <c r="Q380" s="10"/>
      <c r="R380" s="9"/>
      <c r="U380" s="10"/>
      <c r="V380" s="10"/>
    </row>
    <row r="381" spans="2:22" x14ac:dyDescent="0.2">
      <c r="B381" s="8"/>
      <c r="E381" s="26"/>
      <c r="F381" s="26"/>
      <c r="G381" s="26"/>
      <c r="H381" s="26"/>
      <c r="I381" s="26"/>
      <c r="J381" s="26"/>
      <c r="K381" s="26"/>
      <c r="L381" s="26"/>
      <c r="M381" s="26"/>
      <c r="N381" s="26"/>
      <c r="O381" s="26"/>
      <c r="P381" s="26"/>
      <c r="Q381" s="10"/>
      <c r="R381" s="9"/>
      <c r="U381" s="10"/>
      <c r="V381" s="10"/>
    </row>
    <row r="382" spans="2:22" x14ac:dyDescent="0.2">
      <c r="B382" s="8"/>
      <c r="E382" s="26"/>
      <c r="F382" s="26"/>
      <c r="G382" s="26"/>
      <c r="H382" s="26"/>
      <c r="I382" s="26"/>
      <c r="J382" s="26"/>
      <c r="K382" s="26"/>
      <c r="L382" s="26"/>
      <c r="M382" s="26"/>
      <c r="N382" s="26"/>
      <c r="O382" s="26"/>
      <c r="P382" s="26"/>
      <c r="Q382" s="10"/>
      <c r="R382" s="9"/>
      <c r="U382" s="10"/>
      <c r="V382" s="10"/>
    </row>
    <row r="383" spans="2:22" x14ac:dyDescent="0.2">
      <c r="B383" s="8"/>
      <c r="E383" s="26"/>
      <c r="F383" s="26"/>
      <c r="G383" s="26"/>
      <c r="H383" s="26"/>
      <c r="I383" s="26"/>
      <c r="J383" s="26"/>
      <c r="K383" s="26"/>
      <c r="L383" s="26"/>
      <c r="M383" s="26"/>
      <c r="N383" s="26"/>
      <c r="O383" s="26"/>
      <c r="P383" s="26"/>
      <c r="Q383" s="10"/>
      <c r="R383" s="9"/>
      <c r="U383" s="10"/>
      <c r="V383" s="10"/>
    </row>
    <row r="384" spans="2:22" x14ac:dyDescent="0.2">
      <c r="B384" s="8"/>
      <c r="E384" s="26"/>
      <c r="F384" s="26"/>
      <c r="G384" s="26"/>
      <c r="H384" s="26"/>
      <c r="I384" s="26"/>
      <c r="J384" s="26"/>
      <c r="K384" s="26"/>
      <c r="L384" s="26"/>
      <c r="M384" s="26"/>
      <c r="N384" s="26"/>
      <c r="O384" s="26"/>
      <c r="P384" s="26"/>
      <c r="Q384" s="10"/>
      <c r="R384" s="9"/>
      <c r="U384" s="10"/>
      <c r="V384" s="10"/>
    </row>
    <row r="385" spans="2:22" x14ac:dyDescent="0.2">
      <c r="B385" s="8"/>
      <c r="E385" s="26"/>
      <c r="F385" s="26"/>
      <c r="G385" s="26"/>
      <c r="H385" s="26"/>
      <c r="I385" s="26"/>
      <c r="J385" s="26"/>
      <c r="K385" s="26"/>
      <c r="L385" s="26"/>
      <c r="M385" s="26"/>
      <c r="N385" s="26"/>
      <c r="O385" s="26"/>
      <c r="P385" s="26"/>
      <c r="Q385" s="10"/>
      <c r="R385" s="9"/>
      <c r="U385" s="10"/>
      <c r="V385" s="10"/>
    </row>
    <row r="386" spans="2:22" x14ac:dyDescent="0.2">
      <c r="B386" s="8"/>
      <c r="E386" s="26"/>
      <c r="F386" s="26"/>
      <c r="G386" s="26"/>
      <c r="H386" s="26"/>
      <c r="I386" s="26"/>
      <c r="J386" s="26"/>
      <c r="K386" s="26"/>
      <c r="L386" s="26"/>
      <c r="M386" s="26"/>
      <c r="N386" s="26"/>
      <c r="O386" s="26"/>
      <c r="P386" s="26"/>
      <c r="Q386" s="10"/>
      <c r="R386" s="9"/>
      <c r="U386" s="10"/>
      <c r="V386" s="10"/>
    </row>
    <row r="387" spans="2:22" x14ac:dyDescent="0.2">
      <c r="B387" s="8"/>
      <c r="E387" s="26"/>
      <c r="F387" s="26"/>
      <c r="G387" s="26"/>
      <c r="H387" s="26"/>
      <c r="I387" s="26"/>
      <c r="J387" s="26"/>
      <c r="K387" s="26"/>
      <c r="L387" s="26"/>
      <c r="M387" s="26"/>
      <c r="N387" s="26"/>
      <c r="O387" s="26"/>
      <c r="P387" s="26"/>
      <c r="Q387" s="10"/>
      <c r="R387" s="9"/>
      <c r="U387" s="10"/>
      <c r="V387" s="10"/>
    </row>
    <row r="388" spans="2:22" x14ac:dyDescent="0.2">
      <c r="B388" s="8"/>
      <c r="E388" s="26"/>
      <c r="F388" s="26"/>
      <c r="G388" s="26"/>
      <c r="H388" s="26"/>
      <c r="I388" s="26"/>
      <c r="J388" s="26"/>
      <c r="K388" s="26"/>
      <c r="L388" s="26"/>
      <c r="M388" s="26"/>
      <c r="N388" s="26"/>
      <c r="O388" s="26"/>
      <c r="P388" s="26"/>
      <c r="Q388" s="10"/>
      <c r="R388" s="9"/>
      <c r="U388" s="10"/>
      <c r="V388" s="10"/>
    </row>
    <row r="389" spans="2:22" x14ac:dyDescent="0.2">
      <c r="B389" s="8"/>
      <c r="E389" s="26"/>
      <c r="F389" s="26"/>
      <c r="G389" s="26"/>
      <c r="H389" s="26"/>
      <c r="I389" s="26"/>
      <c r="J389" s="26"/>
      <c r="K389" s="26"/>
      <c r="L389" s="26"/>
      <c r="M389" s="26"/>
      <c r="N389" s="26"/>
      <c r="O389" s="26"/>
      <c r="P389" s="26"/>
      <c r="Q389" s="10"/>
      <c r="R389" s="9"/>
      <c r="U389" s="10"/>
      <c r="V389" s="10"/>
    </row>
    <row r="390" spans="2:22" x14ac:dyDescent="0.2">
      <c r="B390" s="8"/>
      <c r="E390" s="26"/>
      <c r="F390" s="26"/>
      <c r="G390" s="26"/>
      <c r="H390" s="26"/>
      <c r="I390" s="26"/>
      <c r="J390" s="26"/>
      <c r="K390" s="26"/>
      <c r="L390" s="26"/>
      <c r="M390" s="26"/>
      <c r="N390" s="26"/>
      <c r="O390" s="26"/>
      <c r="P390" s="26"/>
      <c r="Q390" s="10"/>
      <c r="R390" s="9"/>
      <c r="U390" s="10"/>
      <c r="V390" s="10"/>
    </row>
    <row r="391" spans="2:22" x14ac:dyDescent="0.2">
      <c r="B391" s="8"/>
      <c r="E391" s="26"/>
      <c r="F391" s="26"/>
      <c r="G391" s="26"/>
      <c r="H391" s="26"/>
      <c r="I391" s="26"/>
      <c r="J391" s="26"/>
      <c r="K391" s="26"/>
      <c r="L391" s="26"/>
      <c r="M391" s="26"/>
      <c r="N391" s="26"/>
      <c r="O391" s="26"/>
      <c r="P391" s="26"/>
      <c r="Q391" s="10"/>
      <c r="R391" s="9"/>
      <c r="U391" s="10"/>
      <c r="V391" s="10"/>
    </row>
    <row r="392" spans="2:22" x14ac:dyDescent="0.2">
      <c r="B392" s="8"/>
      <c r="E392" s="26"/>
      <c r="F392" s="26"/>
      <c r="G392" s="26"/>
      <c r="H392" s="26"/>
      <c r="I392" s="26"/>
      <c r="J392" s="26"/>
      <c r="K392" s="26"/>
      <c r="L392" s="26"/>
      <c r="M392" s="26"/>
      <c r="N392" s="26"/>
      <c r="O392" s="26"/>
      <c r="P392" s="26"/>
      <c r="Q392" s="10"/>
      <c r="R392" s="9"/>
      <c r="U392" s="10"/>
      <c r="V392" s="10"/>
    </row>
    <row r="393" spans="2:22" x14ac:dyDescent="0.2">
      <c r="B393" s="8"/>
      <c r="E393" s="26"/>
      <c r="F393" s="26"/>
      <c r="G393" s="26"/>
      <c r="H393" s="26"/>
      <c r="I393" s="26"/>
      <c r="J393" s="26"/>
      <c r="K393" s="26"/>
      <c r="L393" s="26"/>
      <c r="M393" s="26"/>
      <c r="N393" s="26"/>
      <c r="O393" s="26"/>
      <c r="P393" s="26"/>
      <c r="Q393" s="10"/>
      <c r="R393" s="9"/>
      <c r="U393" s="10"/>
      <c r="V393" s="10"/>
    </row>
    <row r="394" spans="2:22" x14ac:dyDescent="0.2">
      <c r="B394" s="8"/>
      <c r="E394" s="26"/>
      <c r="F394" s="26"/>
      <c r="G394" s="26"/>
      <c r="H394" s="26"/>
      <c r="I394" s="26"/>
      <c r="J394" s="26"/>
      <c r="K394" s="26"/>
      <c r="L394" s="26"/>
      <c r="M394" s="26"/>
      <c r="N394" s="26"/>
      <c r="O394" s="26"/>
      <c r="P394" s="26"/>
      <c r="Q394" s="10"/>
      <c r="R394" s="9"/>
      <c r="U394" s="10"/>
      <c r="V394" s="10"/>
    </row>
    <row r="395" spans="2:22" x14ac:dyDescent="0.2">
      <c r="B395" s="8"/>
      <c r="E395" s="26"/>
      <c r="F395" s="26"/>
      <c r="G395" s="26"/>
      <c r="H395" s="26"/>
      <c r="I395" s="26"/>
      <c r="J395" s="26"/>
      <c r="K395" s="26"/>
      <c r="L395" s="26"/>
      <c r="M395" s="26"/>
      <c r="N395" s="26"/>
      <c r="O395" s="26"/>
      <c r="P395" s="26"/>
      <c r="Q395" s="10"/>
      <c r="R395" s="9"/>
      <c r="U395" s="10"/>
      <c r="V395" s="10"/>
    </row>
    <row r="396" spans="2:22" x14ac:dyDescent="0.2">
      <c r="B396" s="8"/>
      <c r="E396" s="26"/>
      <c r="F396" s="26"/>
      <c r="G396" s="26"/>
      <c r="H396" s="26"/>
      <c r="I396" s="26"/>
      <c r="J396" s="26"/>
      <c r="K396" s="26"/>
      <c r="L396" s="26"/>
      <c r="M396" s="26"/>
      <c r="N396" s="26"/>
      <c r="O396" s="26"/>
      <c r="P396" s="26"/>
      <c r="Q396" s="10"/>
      <c r="R396" s="9"/>
      <c r="U396" s="10"/>
      <c r="V396" s="10"/>
    </row>
    <row r="397" spans="2:22" x14ac:dyDescent="0.2">
      <c r="B397" s="8"/>
      <c r="E397" s="26"/>
      <c r="F397" s="26"/>
      <c r="G397" s="26"/>
      <c r="H397" s="26"/>
      <c r="I397" s="26"/>
      <c r="J397" s="26"/>
      <c r="K397" s="26"/>
      <c r="L397" s="26"/>
      <c r="M397" s="26"/>
      <c r="N397" s="26"/>
      <c r="O397" s="26"/>
      <c r="P397" s="26"/>
      <c r="Q397" s="10"/>
      <c r="R397" s="9"/>
      <c r="U397" s="10"/>
      <c r="V397" s="10"/>
    </row>
    <row r="398" spans="2:22" x14ac:dyDescent="0.2">
      <c r="B398" s="8"/>
      <c r="E398" s="26"/>
      <c r="F398" s="26"/>
      <c r="G398" s="26"/>
      <c r="H398" s="26"/>
      <c r="I398" s="26"/>
      <c r="J398" s="26"/>
      <c r="K398" s="26"/>
      <c r="L398" s="26"/>
      <c r="M398" s="26"/>
      <c r="N398" s="26"/>
      <c r="O398" s="26"/>
      <c r="P398" s="26"/>
      <c r="Q398" s="10"/>
      <c r="R398" s="9"/>
      <c r="U398" s="10"/>
      <c r="V398" s="10"/>
    </row>
    <row r="399" spans="2:22" x14ac:dyDescent="0.2">
      <c r="B399" s="8"/>
      <c r="E399" s="26"/>
      <c r="F399" s="26"/>
      <c r="G399" s="26"/>
      <c r="H399" s="26"/>
      <c r="I399" s="26"/>
      <c r="J399" s="26"/>
      <c r="K399" s="26"/>
      <c r="L399" s="26"/>
      <c r="M399" s="26"/>
      <c r="N399" s="26"/>
      <c r="O399" s="26"/>
      <c r="P399" s="26"/>
      <c r="Q399" s="10"/>
      <c r="R399" s="9"/>
      <c r="U399" s="10"/>
      <c r="V399" s="10"/>
    </row>
    <row r="400" spans="2:22" x14ac:dyDescent="0.2">
      <c r="B400" s="8"/>
      <c r="E400" s="26"/>
      <c r="F400" s="26"/>
      <c r="G400" s="26"/>
      <c r="H400" s="26"/>
      <c r="I400" s="26"/>
      <c r="J400" s="26"/>
      <c r="K400" s="26"/>
      <c r="L400" s="26"/>
      <c r="M400" s="26"/>
      <c r="N400" s="26"/>
      <c r="O400" s="26"/>
      <c r="P400" s="26"/>
      <c r="Q400" s="10"/>
      <c r="R400" s="9"/>
      <c r="U400" s="10"/>
      <c r="V400" s="10"/>
    </row>
    <row r="401" spans="2:22" x14ac:dyDescent="0.2">
      <c r="B401" s="8"/>
      <c r="E401" s="26"/>
      <c r="F401" s="26"/>
      <c r="G401" s="26"/>
      <c r="H401" s="26"/>
      <c r="I401" s="26"/>
      <c r="J401" s="26"/>
      <c r="K401" s="26"/>
      <c r="L401" s="26"/>
      <c r="M401" s="26"/>
      <c r="N401" s="26"/>
      <c r="O401" s="26"/>
      <c r="P401" s="26"/>
      <c r="Q401" s="10"/>
      <c r="R401" s="9"/>
      <c r="U401" s="10"/>
      <c r="V401" s="10"/>
    </row>
    <row r="402" spans="2:22" x14ac:dyDescent="0.2">
      <c r="B402" s="8"/>
      <c r="E402" s="26"/>
      <c r="F402" s="26"/>
      <c r="G402" s="26"/>
      <c r="H402" s="26"/>
      <c r="I402" s="26"/>
      <c r="J402" s="26"/>
      <c r="K402" s="26"/>
      <c r="L402" s="26"/>
      <c r="M402" s="26"/>
      <c r="N402" s="26"/>
      <c r="O402" s="26"/>
      <c r="P402" s="26"/>
      <c r="Q402" s="10"/>
      <c r="R402" s="9"/>
      <c r="U402" s="10"/>
      <c r="V402" s="10"/>
    </row>
    <row r="403" spans="2:22" x14ac:dyDescent="0.2">
      <c r="B403" s="8"/>
      <c r="E403" s="26"/>
      <c r="F403" s="26"/>
      <c r="G403" s="26"/>
      <c r="H403" s="26"/>
      <c r="I403" s="26"/>
      <c r="J403" s="26"/>
      <c r="K403" s="26"/>
      <c r="L403" s="26"/>
      <c r="M403" s="26"/>
      <c r="N403" s="26"/>
      <c r="O403" s="26"/>
      <c r="P403" s="26"/>
      <c r="Q403" s="10"/>
      <c r="R403" s="9"/>
      <c r="U403" s="10"/>
      <c r="V403" s="10"/>
    </row>
    <row r="404" spans="2:22" x14ac:dyDescent="0.2">
      <c r="B404" s="8"/>
      <c r="E404" s="26"/>
      <c r="F404" s="26"/>
      <c r="G404" s="26"/>
      <c r="H404" s="26"/>
      <c r="I404" s="26"/>
      <c r="J404" s="26"/>
      <c r="K404" s="26"/>
      <c r="L404" s="26"/>
      <c r="M404" s="26"/>
      <c r="N404" s="26"/>
      <c r="O404" s="26"/>
      <c r="P404" s="26"/>
      <c r="Q404" s="10"/>
      <c r="R404" s="9"/>
      <c r="U404" s="10"/>
      <c r="V404" s="10"/>
    </row>
    <row r="405" spans="2:22" x14ac:dyDescent="0.2">
      <c r="B405" s="8"/>
      <c r="E405" s="26"/>
      <c r="F405" s="26"/>
      <c r="G405" s="26"/>
      <c r="H405" s="26"/>
      <c r="I405" s="26"/>
      <c r="J405" s="26"/>
      <c r="K405" s="26"/>
      <c r="L405" s="26"/>
      <c r="M405" s="26"/>
      <c r="N405" s="26"/>
      <c r="O405" s="26"/>
      <c r="P405" s="26"/>
      <c r="Q405" s="10"/>
      <c r="R405" s="9"/>
      <c r="U405" s="10"/>
      <c r="V405" s="10"/>
    </row>
    <row r="406" spans="2:22" x14ac:dyDescent="0.2">
      <c r="B406" s="8"/>
      <c r="E406" s="26"/>
      <c r="F406" s="26"/>
      <c r="G406" s="26"/>
      <c r="H406" s="26"/>
      <c r="I406" s="26"/>
      <c r="J406" s="26"/>
      <c r="K406" s="26"/>
      <c r="L406" s="26"/>
      <c r="M406" s="26"/>
      <c r="N406" s="26"/>
      <c r="O406" s="26"/>
      <c r="P406" s="26"/>
      <c r="Q406" s="10"/>
      <c r="R406" s="9"/>
      <c r="U406" s="10"/>
      <c r="V406" s="10"/>
    </row>
    <row r="407" spans="2:22" x14ac:dyDescent="0.2">
      <c r="B407" s="8"/>
      <c r="E407" s="26"/>
      <c r="F407" s="26"/>
      <c r="G407" s="26"/>
      <c r="H407" s="26"/>
      <c r="I407" s="26"/>
      <c r="J407" s="26"/>
      <c r="K407" s="26"/>
      <c r="L407" s="26"/>
      <c r="M407" s="26"/>
      <c r="N407" s="26"/>
      <c r="O407" s="26"/>
      <c r="P407" s="26"/>
      <c r="Q407" s="10"/>
      <c r="R407" s="9"/>
      <c r="U407" s="10"/>
      <c r="V407" s="10"/>
    </row>
    <row r="408" spans="2:22" x14ac:dyDescent="0.2">
      <c r="B408" s="8"/>
      <c r="E408" s="26"/>
      <c r="F408" s="26"/>
      <c r="G408" s="26"/>
      <c r="H408" s="26"/>
      <c r="I408" s="26"/>
      <c r="J408" s="26"/>
      <c r="K408" s="26"/>
      <c r="L408" s="26"/>
      <c r="M408" s="26"/>
      <c r="N408" s="26"/>
      <c r="O408" s="26"/>
      <c r="P408" s="26"/>
      <c r="Q408" s="10"/>
      <c r="R408" s="9"/>
      <c r="U408" s="10"/>
      <c r="V408" s="10"/>
    </row>
    <row r="409" spans="2:22" x14ac:dyDescent="0.2">
      <c r="B409" s="8"/>
      <c r="E409" s="26"/>
      <c r="F409" s="26"/>
      <c r="G409" s="26"/>
      <c r="H409" s="26"/>
      <c r="I409" s="26"/>
      <c r="J409" s="26"/>
      <c r="K409" s="26"/>
      <c r="L409" s="26"/>
      <c r="M409" s="26"/>
      <c r="N409" s="26"/>
      <c r="O409" s="26"/>
      <c r="P409" s="26"/>
      <c r="Q409" s="10"/>
      <c r="R409" s="9"/>
      <c r="U409" s="10"/>
      <c r="V409" s="10"/>
    </row>
    <row r="410" spans="2:22" x14ac:dyDescent="0.2">
      <c r="B410" s="8"/>
      <c r="E410" s="26"/>
      <c r="F410" s="26"/>
      <c r="G410" s="26"/>
      <c r="H410" s="26"/>
      <c r="I410" s="26"/>
      <c r="J410" s="26"/>
      <c r="K410" s="26"/>
      <c r="L410" s="26"/>
      <c r="M410" s="26"/>
      <c r="N410" s="26"/>
      <c r="O410" s="26"/>
      <c r="P410" s="26"/>
      <c r="Q410" s="10"/>
      <c r="R410" s="9"/>
      <c r="U410" s="10"/>
      <c r="V410" s="10"/>
    </row>
    <row r="411" spans="2:22" x14ac:dyDescent="0.2">
      <c r="B411" s="8"/>
      <c r="E411" s="26"/>
      <c r="F411" s="26"/>
      <c r="G411" s="26"/>
      <c r="H411" s="26"/>
      <c r="I411" s="26"/>
      <c r="J411" s="26"/>
      <c r="K411" s="26"/>
      <c r="L411" s="26"/>
      <c r="M411" s="26"/>
      <c r="N411" s="26"/>
      <c r="O411" s="26"/>
      <c r="P411" s="26"/>
      <c r="Q411" s="10"/>
      <c r="R411" s="9"/>
      <c r="U411" s="10"/>
      <c r="V411" s="10"/>
    </row>
    <row r="412" spans="2:22" x14ac:dyDescent="0.2">
      <c r="B412" s="8"/>
      <c r="E412" s="26"/>
      <c r="F412" s="26"/>
      <c r="G412" s="26"/>
      <c r="H412" s="26"/>
      <c r="I412" s="26"/>
      <c r="J412" s="26"/>
      <c r="K412" s="26"/>
      <c r="L412" s="26"/>
      <c r="M412" s="26"/>
      <c r="N412" s="26"/>
      <c r="O412" s="26"/>
      <c r="P412" s="26"/>
      <c r="Q412" s="10"/>
      <c r="R412" s="9"/>
      <c r="U412" s="10"/>
      <c r="V412" s="10"/>
    </row>
    <row r="413" spans="2:22" x14ac:dyDescent="0.2">
      <c r="B413" s="8"/>
      <c r="E413" s="26"/>
      <c r="F413" s="26"/>
      <c r="G413" s="26"/>
      <c r="H413" s="26"/>
      <c r="I413" s="26"/>
      <c r="J413" s="26"/>
      <c r="K413" s="26"/>
      <c r="L413" s="26"/>
      <c r="M413" s="26"/>
      <c r="N413" s="26"/>
      <c r="O413" s="26"/>
      <c r="P413" s="26"/>
      <c r="Q413" s="10"/>
      <c r="R413" s="9"/>
      <c r="U413" s="10"/>
      <c r="V413" s="10"/>
    </row>
    <row r="414" spans="2:22" x14ac:dyDescent="0.2">
      <c r="B414" s="8"/>
      <c r="E414" s="26"/>
      <c r="F414" s="26"/>
      <c r="G414" s="26"/>
      <c r="H414" s="26"/>
      <c r="I414" s="26"/>
      <c r="J414" s="26"/>
      <c r="K414" s="26"/>
      <c r="L414" s="26"/>
      <c r="M414" s="26"/>
      <c r="N414" s="26"/>
      <c r="O414" s="26"/>
      <c r="P414" s="26"/>
      <c r="Q414" s="10"/>
      <c r="R414" s="9"/>
      <c r="U414" s="10"/>
      <c r="V414" s="10"/>
    </row>
    <row r="415" spans="2:22" x14ac:dyDescent="0.2">
      <c r="B415" s="8"/>
      <c r="E415" s="26"/>
      <c r="F415" s="26"/>
      <c r="G415" s="26"/>
      <c r="H415" s="26"/>
      <c r="I415" s="26"/>
      <c r="J415" s="26"/>
      <c r="K415" s="26"/>
      <c r="L415" s="26"/>
      <c r="M415" s="26"/>
      <c r="N415" s="26"/>
      <c r="O415" s="26"/>
      <c r="P415" s="26"/>
      <c r="Q415" s="10"/>
      <c r="R415" s="9"/>
      <c r="U415" s="10"/>
      <c r="V415" s="10"/>
    </row>
    <row r="416" spans="2:22" x14ac:dyDescent="0.2">
      <c r="B416" s="8"/>
      <c r="E416" s="26"/>
      <c r="F416" s="26"/>
      <c r="G416" s="26"/>
      <c r="H416" s="26"/>
      <c r="I416" s="26"/>
      <c r="J416" s="26"/>
      <c r="K416" s="26"/>
      <c r="L416" s="26"/>
      <c r="M416" s="26"/>
      <c r="N416" s="26"/>
      <c r="O416" s="26"/>
      <c r="P416" s="26"/>
      <c r="Q416" s="10"/>
      <c r="R416" s="9"/>
      <c r="U416" s="10"/>
      <c r="V416" s="10"/>
    </row>
    <row r="417" spans="2:22" x14ac:dyDescent="0.2">
      <c r="B417" s="8"/>
      <c r="E417" s="26"/>
      <c r="F417" s="26"/>
      <c r="G417" s="26"/>
      <c r="H417" s="26"/>
      <c r="I417" s="26"/>
      <c r="J417" s="26"/>
      <c r="K417" s="26"/>
      <c r="L417" s="26"/>
      <c r="M417" s="26"/>
      <c r="N417" s="26"/>
      <c r="O417" s="26"/>
      <c r="P417" s="26"/>
      <c r="Q417" s="10"/>
      <c r="R417" s="9"/>
      <c r="U417" s="10"/>
      <c r="V417" s="10"/>
    </row>
    <row r="418" spans="2:22" x14ac:dyDescent="0.2">
      <c r="B418" s="8"/>
      <c r="E418" s="26"/>
      <c r="F418" s="26"/>
      <c r="G418" s="26"/>
      <c r="H418" s="26"/>
      <c r="I418" s="26"/>
      <c r="J418" s="26"/>
      <c r="K418" s="26"/>
      <c r="L418" s="26"/>
      <c r="M418" s="26"/>
      <c r="N418" s="26"/>
      <c r="O418" s="26"/>
      <c r="P418" s="26"/>
      <c r="Q418" s="10"/>
      <c r="R418" s="9"/>
      <c r="U418" s="10"/>
      <c r="V418" s="10"/>
    </row>
    <row r="419" spans="2:22" x14ac:dyDescent="0.2">
      <c r="B419" s="8"/>
      <c r="E419" s="26"/>
      <c r="F419" s="26"/>
      <c r="G419" s="26"/>
      <c r="H419" s="26"/>
      <c r="I419" s="26"/>
      <c r="J419" s="26"/>
      <c r="K419" s="26"/>
      <c r="L419" s="26"/>
      <c r="M419" s="26"/>
      <c r="N419" s="26"/>
      <c r="O419" s="26"/>
      <c r="P419" s="26"/>
      <c r="Q419" s="10"/>
      <c r="R419" s="9"/>
      <c r="U419" s="10"/>
      <c r="V419" s="10"/>
    </row>
    <row r="420" spans="2:22" x14ac:dyDescent="0.2">
      <c r="B420" s="8"/>
      <c r="E420" s="26"/>
      <c r="F420" s="26"/>
      <c r="G420" s="26"/>
      <c r="H420" s="26"/>
      <c r="I420" s="26"/>
      <c r="J420" s="26"/>
      <c r="K420" s="26"/>
      <c r="L420" s="26"/>
      <c r="M420" s="26"/>
      <c r="N420" s="26"/>
      <c r="O420" s="26"/>
      <c r="P420" s="26"/>
      <c r="Q420" s="10"/>
      <c r="R420" s="9"/>
      <c r="U420" s="10"/>
      <c r="V420" s="10"/>
    </row>
    <row r="421" spans="2:22" x14ac:dyDescent="0.2">
      <c r="B421" s="8"/>
      <c r="E421" s="26"/>
      <c r="F421" s="26"/>
      <c r="G421" s="26"/>
      <c r="H421" s="26"/>
      <c r="I421" s="26"/>
      <c r="J421" s="26"/>
      <c r="K421" s="26"/>
      <c r="L421" s="26"/>
      <c r="M421" s="26"/>
      <c r="N421" s="26"/>
      <c r="O421" s="26"/>
      <c r="P421" s="26"/>
      <c r="Q421" s="10"/>
      <c r="R421" s="9"/>
      <c r="U421" s="10"/>
      <c r="V421" s="10"/>
    </row>
    <row r="422" spans="2:22" x14ac:dyDescent="0.2">
      <c r="B422" s="8"/>
      <c r="E422" s="26"/>
      <c r="F422" s="26"/>
      <c r="G422" s="26"/>
      <c r="H422" s="26"/>
      <c r="I422" s="26"/>
      <c r="J422" s="26"/>
      <c r="K422" s="26"/>
      <c r="L422" s="26"/>
      <c r="M422" s="26"/>
      <c r="N422" s="26"/>
      <c r="O422" s="26"/>
      <c r="P422" s="26"/>
      <c r="Q422" s="10"/>
      <c r="R422" s="9"/>
      <c r="U422" s="10"/>
      <c r="V422" s="10"/>
    </row>
    <row r="423" spans="2:22" x14ac:dyDescent="0.2">
      <c r="B423" s="8"/>
      <c r="E423" s="26"/>
      <c r="F423" s="26"/>
      <c r="G423" s="26"/>
      <c r="H423" s="26"/>
      <c r="I423" s="26"/>
      <c r="J423" s="26"/>
      <c r="K423" s="26"/>
      <c r="L423" s="26"/>
      <c r="M423" s="26"/>
      <c r="N423" s="26"/>
      <c r="O423" s="26"/>
      <c r="P423" s="26"/>
      <c r="Q423" s="10"/>
      <c r="R423" s="9"/>
      <c r="U423" s="10"/>
      <c r="V423" s="10"/>
    </row>
    <row r="424" spans="2:22" x14ac:dyDescent="0.2">
      <c r="B424" s="8"/>
      <c r="E424" s="26"/>
      <c r="F424" s="26"/>
      <c r="G424" s="26"/>
      <c r="H424" s="26"/>
      <c r="I424" s="26"/>
      <c r="J424" s="26"/>
      <c r="K424" s="26"/>
      <c r="L424" s="26"/>
      <c r="M424" s="26"/>
      <c r="N424" s="26"/>
      <c r="O424" s="26"/>
      <c r="P424" s="26"/>
      <c r="Q424" s="10"/>
      <c r="R424" s="9"/>
      <c r="U424" s="10"/>
      <c r="V424" s="10"/>
    </row>
    <row r="425" spans="2:22" x14ac:dyDescent="0.2">
      <c r="B425" s="8"/>
      <c r="E425" s="26"/>
      <c r="F425" s="26"/>
      <c r="G425" s="26"/>
      <c r="H425" s="26"/>
      <c r="I425" s="26"/>
      <c r="J425" s="26"/>
      <c r="K425" s="26"/>
      <c r="L425" s="26"/>
      <c r="M425" s="26"/>
      <c r="N425" s="26"/>
      <c r="O425" s="26"/>
      <c r="P425" s="26"/>
      <c r="Q425" s="10"/>
      <c r="R425" s="9"/>
      <c r="U425" s="10"/>
      <c r="V425" s="10"/>
    </row>
    <row r="426" spans="2:22" x14ac:dyDescent="0.2">
      <c r="B426" s="8"/>
      <c r="E426" s="26"/>
      <c r="F426" s="26"/>
      <c r="G426" s="26"/>
      <c r="H426" s="26"/>
      <c r="I426" s="26"/>
      <c r="J426" s="26"/>
      <c r="K426" s="26"/>
      <c r="L426" s="26"/>
      <c r="M426" s="26"/>
      <c r="N426" s="26"/>
      <c r="O426" s="26"/>
      <c r="P426" s="26"/>
      <c r="Q426" s="10"/>
      <c r="R426" s="9"/>
      <c r="U426" s="10"/>
      <c r="V426" s="10"/>
    </row>
    <row r="427" spans="2:22" x14ac:dyDescent="0.2">
      <c r="B427" s="8"/>
      <c r="E427" s="26"/>
      <c r="F427" s="26"/>
      <c r="G427" s="26"/>
      <c r="H427" s="26"/>
      <c r="I427" s="26"/>
      <c r="J427" s="26"/>
      <c r="K427" s="26"/>
      <c r="L427" s="26"/>
      <c r="M427" s="26"/>
      <c r="N427" s="26"/>
      <c r="O427" s="26"/>
      <c r="P427" s="26"/>
      <c r="Q427" s="10"/>
      <c r="R427" s="9"/>
      <c r="U427" s="10"/>
      <c r="V427" s="10"/>
    </row>
    <row r="428" spans="2:22" x14ac:dyDescent="0.2">
      <c r="B428" s="8"/>
      <c r="E428" s="26"/>
      <c r="F428" s="26"/>
      <c r="G428" s="26"/>
      <c r="H428" s="26"/>
      <c r="I428" s="26"/>
      <c r="J428" s="26"/>
      <c r="K428" s="26"/>
      <c r="L428" s="26"/>
      <c r="M428" s="26"/>
      <c r="N428" s="26"/>
      <c r="O428" s="26"/>
      <c r="P428" s="26"/>
      <c r="Q428" s="10"/>
      <c r="R428" s="9"/>
      <c r="U428" s="10"/>
      <c r="V428" s="10"/>
    </row>
    <row r="429" spans="2:22" x14ac:dyDescent="0.2">
      <c r="B429" s="8"/>
      <c r="E429" s="26"/>
      <c r="F429" s="26"/>
      <c r="G429" s="26"/>
      <c r="H429" s="26"/>
      <c r="I429" s="26"/>
      <c r="J429" s="26"/>
      <c r="K429" s="26"/>
      <c r="L429" s="26"/>
      <c r="M429" s="26"/>
      <c r="N429" s="26"/>
      <c r="O429" s="26"/>
      <c r="P429" s="26"/>
      <c r="Q429" s="10"/>
      <c r="R429" s="9"/>
      <c r="U429" s="10"/>
      <c r="V429" s="10"/>
    </row>
    <row r="430" spans="2:22" x14ac:dyDescent="0.2">
      <c r="B430" s="8"/>
      <c r="E430" s="26"/>
      <c r="F430" s="26"/>
      <c r="G430" s="26"/>
      <c r="H430" s="26"/>
      <c r="I430" s="26"/>
      <c r="J430" s="26"/>
      <c r="K430" s="26"/>
      <c r="L430" s="26"/>
      <c r="M430" s="26"/>
      <c r="N430" s="26"/>
      <c r="O430" s="26"/>
      <c r="P430" s="26"/>
      <c r="Q430" s="10"/>
      <c r="R430" s="9"/>
      <c r="U430" s="10"/>
      <c r="V430" s="10"/>
    </row>
    <row r="431" spans="2:22" x14ac:dyDescent="0.2">
      <c r="B431" s="8"/>
      <c r="E431" s="26"/>
      <c r="F431" s="26"/>
      <c r="G431" s="26"/>
      <c r="H431" s="26"/>
      <c r="I431" s="26"/>
      <c r="J431" s="26"/>
      <c r="K431" s="26"/>
      <c r="L431" s="26"/>
      <c r="M431" s="26"/>
      <c r="N431" s="26"/>
      <c r="O431" s="26"/>
      <c r="P431" s="26"/>
      <c r="Q431" s="10"/>
      <c r="R431" s="9"/>
      <c r="U431" s="10"/>
      <c r="V431" s="10"/>
    </row>
    <row r="432" spans="2:22" x14ac:dyDescent="0.2">
      <c r="B432" s="8"/>
      <c r="E432" s="26"/>
      <c r="F432" s="26"/>
      <c r="G432" s="26"/>
      <c r="H432" s="26"/>
      <c r="I432" s="26"/>
      <c r="J432" s="26"/>
      <c r="K432" s="26"/>
      <c r="L432" s="26"/>
      <c r="M432" s="26"/>
      <c r="N432" s="26"/>
      <c r="O432" s="26"/>
      <c r="P432" s="26"/>
      <c r="Q432" s="10"/>
      <c r="R432" s="9"/>
      <c r="U432" s="10"/>
      <c r="V432" s="10"/>
    </row>
    <row r="433" spans="2:22" x14ac:dyDescent="0.2">
      <c r="B433" s="8"/>
      <c r="E433" s="26"/>
      <c r="F433" s="26"/>
      <c r="G433" s="26"/>
      <c r="H433" s="26"/>
      <c r="I433" s="26"/>
      <c r="J433" s="26"/>
      <c r="K433" s="26"/>
      <c r="L433" s="26"/>
      <c r="M433" s="26"/>
      <c r="N433" s="26"/>
      <c r="O433" s="26"/>
      <c r="P433" s="26"/>
      <c r="Q433" s="10"/>
      <c r="R433" s="9"/>
      <c r="U433" s="10"/>
      <c r="V433" s="10"/>
    </row>
    <row r="434" spans="2:22" x14ac:dyDescent="0.2">
      <c r="B434" s="8"/>
      <c r="E434" s="26"/>
      <c r="F434" s="26"/>
      <c r="G434" s="26"/>
      <c r="H434" s="26"/>
      <c r="I434" s="26"/>
      <c r="J434" s="26"/>
      <c r="K434" s="26"/>
      <c r="L434" s="26"/>
      <c r="M434" s="26"/>
      <c r="N434" s="26"/>
      <c r="O434" s="26"/>
      <c r="P434" s="26"/>
      <c r="Q434" s="10"/>
      <c r="R434" s="9"/>
      <c r="U434" s="10"/>
      <c r="V434" s="10"/>
    </row>
    <row r="435" spans="2:22" x14ac:dyDescent="0.2">
      <c r="B435" s="8"/>
      <c r="E435" s="26"/>
      <c r="F435" s="26"/>
      <c r="G435" s="26"/>
      <c r="H435" s="26"/>
      <c r="I435" s="26"/>
      <c r="J435" s="26"/>
      <c r="K435" s="26"/>
      <c r="L435" s="26"/>
      <c r="M435" s="26"/>
      <c r="N435" s="26"/>
      <c r="O435" s="26"/>
      <c r="P435" s="26"/>
      <c r="Q435" s="10"/>
      <c r="R435" s="9"/>
      <c r="U435" s="10"/>
      <c r="V435" s="10"/>
    </row>
    <row r="436" spans="2:22" x14ac:dyDescent="0.2">
      <c r="B436" s="8"/>
      <c r="E436" s="26"/>
      <c r="F436" s="26"/>
      <c r="G436" s="26"/>
      <c r="H436" s="26"/>
      <c r="I436" s="26"/>
      <c r="J436" s="26"/>
      <c r="K436" s="26"/>
      <c r="L436" s="26"/>
      <c r="M436" s="26"/>
      <c r="N436" s="26"/>
      <c r="O436" s="26"/>
      <c r="P436" s="26"/>
      <c r="Q436" s="10"/>
      <c r="R436" s="9"/>
      <c r="U436" s="10"/>
      <c r="V436" s="10"/>
    </row>
    <row r="437" spans="2:22" x14ac:dyDescent="0.2">
      <c r="B437" s="8"/>
      <c r="E437" s="26"/>
      <c r="F437" s="26"/>
      <c r="G437" s="26"/>
      <c r="H437" s="26"/>
      <c r="I437" s="26"/>
      <c r="J437" s="26"/>
      <c r="K437" s="26"/>
      <c r="L437" s="26"/>
      <c r="M437" s="26"/>
      <c r="N437" s="26"/>
      <c r="O437" s="26"/>
      <c r="P437" s="26"/>
      <c r="Q437" s="10"/>
      <c r="R437" s="9"/>
      <c r="U437" s="10"/>
      <c r="V437" s="10"/>
    </row>
    <row r="438" spans="2:22" x14ac:dyDescent="0.2">
      <c r="B438" s="8"/>
      <c r="E438" s="26"/>
      <c r="F438" s="26"/>
      <c r="G438" s="26"/>
      <c r="H438" s="26"/>
      <c r="I438" s="26"/>
      <c r="J438" s="26"/>
      <c r="K438" s="26"/>
      <c r="L438" s="26"/>
      <c r="M438" s="26"/>
      <c r="N438" s="26"/>
      <c r="O438" s="26"/>
      <c r="P438" s="26"/>
      <c r="Q438" s="10"/>
      <c r="R438" s="9"/>
      <c r="U438" s="10"/>
      <c r="V438" s="10"/>
    </row>
    <row r="439" spans="2:22" x14ac:dyDescent="0.2">
      <c r="B439" s="8"/>
      <c r="E439" s="26"/>
      <c r="F439" s="26"/>
      <c r="G439" s="26"/>
      <c r="H439" s="26"/>
      <c r="I439" s="26"/>
      <c r="J439" s="26"/>
      <c r="K439" s="26"/>
      <c r="L439" s="26"/>
      <c r="M439" s="26"/>
      <c r="N439" s="26"/>
      <c r="O439" s="26"/>
      <c r="P439" s="26"/>
      <c r="Q439" s="10"/>
      <c r="R439" s="9"/>
      <c r="U439" s="10"/>
      <c r="V439" s="10"/>
    </row>
    <row r="440" spans="2:22" x14ac:dyDescent="0.2">
      <c r="B440" s="8"/>
      <c r="E440" s="26"/>
      <c r="F440" s="26"/>
      <c r="G440" s="26"/>
      <c r="H440" s="26"/>
      <c r="I440" s="26"/>
      <c r="J440" s="26"/>
      <c r="K440" s="26"/>
      <c r="L440" s="26"/>
      <c r="M440" s="26"/>
      <c r="N440" s="26"/>
      <c r="O440" s="26"/>
      <c r="P440" s="26"/>
      <c r="Q440" s="10"/>
      <c r="R440" s="9"/>
      <c r="U440" s="10"/>
      <c r="V440" s="10"/>
    </row>
    <row r="441" spans="2:22" x14ac:dyDescent="0.2">
      <c r="B441" s="8"/>
      <c r="E441" s="26"/>
      <c r="F441" s="26"/>
      <c r="G441" s="26"/>
      <c r="H441" s="26"/>
      <c r="I441" s="26"/>
      <c r="J441" s="26"/>
      <c r="K441" s="26"/>
      <c r="L441" s="26"/>
      <c r="M441" s="26"/>
      <c r="N441" s="26"/>
      <c r="O441" s="26"/>
      <c r="P441" s="26"/>
      <c r="Q441" s="10"/>
      <c r="R441" s="9"/>
      <c r="U441" s="10"/>
      <c r="V441" s="10"/>
    </row>
    <row r="442" spans="2:22" x14ac:dyDescent="0.2">
      <c r="B442" s="8"/>
      <c r="E442" s="26"/>
      <c r="F442" s="26"/>
      <c r="G442" s="26"/>
      <c r="H442" s="26"/>
      <c r="I442" s="26"/>
      <c r="J442" s="26"/>
      <c r="K442" s="26"/>
      <c r="L442" s="26"/>
      <c r="M442" s="26"/>
      <c r="N442" s="26"/>
      <c r="O442" s="26"/>
      <c r="P442" s="26"/>
      <c r="Q442" s="10"/>
      <c r="R442" s="9"/>
      <c r="U442" s="10"/>
      <c r="V442" s="10"/>
    </row>
    <row r="443" spans="2:22" x14ac:dyDescent="0.2">
      <c r="B443" s="8"/>
      <c r="E443" s="26"/>
      <c r="F443" s="26"/>
      <c r="G443" s="26"/>
      <c r="H443" s="26"/>
      <c r="I443" s="26"/>
      <c r="J443" s="26"/>
      <c r="K443" s="26"/>
      <c r="L443" s="26"/>
      <c r="M443" s="26"/>
      <c r="N443" s="26"/>
      <c r="O443" s="26"/>
      <c r="P443" s="26"/>
      <c r="Q443" s="10"/>
      <c r="R443" s="9"/>
      <c r="U443" s="10"/>
      <c r="V443" s="10"/>
    </row>
    <row r="444" spans="2:22" x14ac:dyDescent="0.2">
      <c r="B444" s="8"/>
      <c r="E444" s="26"/>
      <c r="F444" s="26"/>
      <c r="G444" s="26"/>
      <c r="H444" s="26"/>
      <c r="I444" s="26"/>
      <c r="J444" s="26"/>
      <c r="K444" s="26"/>
      <c r="L444" s="26"/>
      <c r="M444" s="26"/>
      <c r="N444" s="26"/>
      <c r="O444" s="26"/>
      <c r="P444" s="26"/>
      <c r="Q444" s="10"/>
      <c r="R444" s="9"/>
      <c r="U444" s="10"/>
      <c r="V444" s="10"/>
    </row>
    <row r="445" spans="2:22" x14ac:dyDescent="0.2">
      <c r="B445" s="8"/>
      <c r="E445" s="26"/>
      <c r="F445" s="26"/>
      <c r="G445" s="26"/>
      <c r="H445" s="26"/>
      <c r="I445" s="26"/>
      <c r="J445" s="26"/>
      <c r="K445" s="26"/>
      <c r="L445" s="26"/>
      <c r="M445" s="26"/>
      <c r="N445" s="26"/>
      <c r="O445" s="26"/>
      <c r="P445" s="26"/>
      <c r="Q445" s="10"/>
      <c r="R445" s="9"/>
      <c r="U445" s="10"/>
      <c r="V445" s="10"/>
    </row>
    <row r="446" spans="2:22" x14ac:dyDescent="0.2">
      <c r="B446" s="8"/>
      <c r="E446" s="26"/>
      <c r="F446" s="26"/>
      <c r="G446" s="26"/>
      <c r="H446" s="26"/>
      <c r="I446" s="26"/>
      <c r="J446" s="26"/>
      <c r="K446" s="26"/>
      <c r="L446" s="26"/>
      <c r="M446" s="26"/>
      <c r="N446" s="26"/>
      <c r="O446" s="26"/>
      <c r="P446" s="26"/>
      <c r="Q446" s="10"/>
      <c r="R446" s="9"/>
      <c r="U446" s="10"/>
      <c r="V446" s="10"/>
    </row>
    <row r="447" spans="2:22" x14ac:dyDescent="0.2">
      <c r="B447" s="8"/>
      <c r="E447" s="26"/>
      <c r="F447" s="26"/>
      <c r="G447" s="26"/>
      <c r="H447" s="26"/>
      <c r="I447" s="26"/>
      <c r="J447" s="26"/>
      <c r="K447" s="26"/>
      <c r="L447" s="26"/>
      <c r="M447" s="26"/>
      <c r="N447" s="26"/>
      <c r="O447" s="26"/>
      <c r="P447" s="26"/>
      <c r="Q447" s="10"/>
      <c r="R447" s="9"/>
      <c r="U447" s="10"/>
      <c r="V447" s="10"/>
    </row>
    <row r="448" spans="2:22" x14ac:dyDescent="0.2">
      <c r="B448" s="8"/>
      <c r="E448" s="26"/>
      <c r="F448" s="26"/>
      <c r="G448" s="26"/>
      <c r="H448" s="26"/>
      <c r="I448" s="26"/>
      <c r="J448" s="26"/>
      <c r="K448" s="26"/>
      <c r="L448" s="26"/>
      <c r="M448" s="26"/>
      <c r="N448" s="26"/>
      <c r="O448" s="26"/>
      <c r="P448" s="26"/>
      <c r="Q448" s="10"/>
      <c r="R448" s="9"/>
      <c r="U448" s="10"/>
      <c r="V448" s="10"/>
    </row>
    <row r="449" spans="2:22" x14ac:dyDescent="0.2">
      <c r="B449" s="8"/>
      <c r="E449" s="26"/>
      <c r="F449" s="26"/>
      <c r="G449" s="26"/>
      <c r="H449" s="26"/>
      <c r="I449" s="26"/>
      <c r="J449" s="26"/>
      <c r="K449" s="26"/>
      <c r="L449" s="26"/>
      <c r="M449" s="26"/>
      <c r="N449" s="26"/>
      <c r="O449" s="26"/>
      <c r="P449" s="26"/>
      <c r="Q449" s="10"/>
      <c r="R449" s="9"/>
      <c r="U449" s="10"/>
      <c r="V449" s="10"/>
    </row>
    <row r="450" spans="2:22" x14ac:dyDescent="0.2">
      <c r="B450" s="8"/>
      <c r="E450" s="26"/>
      <c r="F450" s="26"/>
      <c r="G450" s="26"/>
      <c r="H450" s="26"/>
      <c r="I450" s="26"/>
      <c r="J450" s="26"/>
      <c r="K450" s="26"/>
      <c r="L450" s="26"/>
      <c r="M450" s="26"/>
      <c r="N450" s="26"/>
      <c r="O450" s="26"/>
      <c r="P450" s="26"/>
      <c r="Q450" s="10"/>
      <c r="R450" s="9"/>
      <c r="U450" s="10"/>
      <c r="V450" s="10"/>
    </row>
    <row r="451" spans="2:22" x14ac:dyDescent="0.2">
      <c r="B451" s="8"/>
      <c r="E451" s="26"/>
      <c r="F451" s="26"/>
      <c r="G451" s="26"/>
      <c r="H451" s="26"/>
      <c r="I451" s="26"/>
      <c r="J451" s="26"/>
      <c r="K451" s="26"/>
      <c r="L451" s="26"/>
      <c r="M451" s="26"/>
      <c r="N451" s="26"/>
      <c r="O451" s="26"/>
      <c r="P451" s="26"/>
      <c r="Q451" s="10"/>
      <c r="R451" s="9"/>
      <c r="U451" s="10"/>
      <c r="V451" s="10"/>
    </row>
    <row r="452" spans="2:22" x14ac:dyDescent="0.2">
      <c r="B452" s="8"/>
      <c r="E452" s="26"/>
      <c r="F452" s="26"/>
      <c r="G452" s="26"/>
      <c r="H452" s="26"/>
      <c r="I452" s="26"/>
      <c r="J452" s="26"/>
      <c r="K452" s="26"/>
      <c r="L452" s="26"/>
      <c r="M452" s="26"/>
      <c r="N452" s="26"/>
      <c r="O452" s="26"/>
      <c r="P452" s="26"/>
      <c r="Q452" s="10"/>
      <c r="R452" s="9"/>
      <c r="U452" s="10"/>
      <c r="V452" s="10"/>
    </row>
    <row r="453" spans="2:22" x14ac:dyDescent="0.2">
      <c r="B453" s="8"/>
      <c r="E453" s="26"/>
      <c r="F453" s="26"/>
      <c r="G453" s="26"/>
      <c r="H453" s="26"/>
      <c r="I453" s="26"/>
      <c r="J453" s="26"/>
      <c r="K453" s="26"/>
      <c r="L453" s="26"/>
      <c r="M453" s="26"/>
      <c r="N453" s="26"/>
      <c r="O453" s="26"/>
      <c r="P453" s="26"/>
      <c r="Q453" s="10"/>
      <c r="R453" s="9"/>
      <c r="U453" s="10"/>
      <c r="V453" s="10"/>
    </row>
    <row r="454" spans="2:22" x14ac:dyDescent="0.2">
      <c r="B454" s="8"/>
      <c r="E454" s="26"/>
      <c r="F454" s="26"/>
      <c r="G454" s="26"/>
      <c r="H454" s="26"/>
      <c r="I454" s="26"/>
      <c r="J454" s="26"/>
      <c r="K454" s="26"/>
      <c r="L454" s="26"/>
      <c r="M454" s="26"/>
      <c r="N454" s="26"/>
      <c r="O454" s="26"/>
      <c r="P454" s="26"/>
      <c r="Q454" s="10"/>
      <c r="R454" s="9"/>
      <c r="U454" s="10"/>
      <c r="V454" s="10"/>
    </row>
    <row r="455" spans="2:22" x14ac:dyDescent="0.2">
      <c r="B455" s="8"/>
      <c r="E455" s="26"/>
      <c r="F455" s="26"/>
      <c r="G455" s="26"/>
      <c r="H455" s="26"/>
      <c r="I455" s="26"/>
      <c r="J455" s="26"/>
      <c r="K455" s="26"/>
      <c r="L455" s="26"/>
      <c r="M455" s="26"/>
      <c r="N455" s="26"/>
      <c r="O455" s="26"/>
      <c r="P455" s="26"/>
      <c r="Q455" s="10"/>
      <c r="R455" s="9"/>
      <c r="U455" s="10"/>
      <c r="V455" s="10"/>
    </row>
    <row r="456" spans="2:22" x14ac:dyDescent="0.2">
      <c r="B456" s="8"/>
      <c r="E456" s="26"/>
      <c r="F456" s="26"/>
      <c r="G456" s="26"/>
      <c r="H456" s="26"/>
      <c r="I456" s="26"/>
      <c r="J456" s="26"/>
      <c r="K456" s="26"/>
      <c r="L456" s="26"/>
      <c r="M456" s="26"/>
      <c r="N456" s="26"/>
      <c r="O456" s="26"/>
      <c r="P456" s="26"/>
      <c r="Q456" s="10"/>
      <c r="R456" s="9"/>
      <c r="U456" s="10"/>
      <c r="V456" s="10"/>
    </row>
    <row r="457" spans="2:22" x14ac:dyDescent="0.2">
      <c r="B457" s="8"/>
      <c r="E457" s="26"/>
      <c r="F457" s="26"/>
      <c r="G457" s="26"/>
      <c r="H457" s="26"/>
      <c r="I457" s="26"/>
      <c r="J457" s="26"/>
      <c r="K457" s="26"/>
      <c r="L457" s="26"/>
      <c r="M457" s="26"/>
      <c r="N457" s="26"/>
      <c r="O457" s="26"/>
      <c r="P457" s="26"/>
      <c r="Q457" s="10"/>
      <c r="R457" s="9"/>
      <c r="U457" s="10"/>
      <c r="V457" s="10"/>
    </row>
    <row r="458" spans="2:22" x14ac:dyDescent="0.2">
      <c r="B458" s="8"/>
      <c r="E458" s="26"/>
      <c r="F458" s="26"/>
      <c r="G458" s="26"/>
      <c r="H458" s="26"/>
      <c r="I458" s="26"/>
      <c r="J458" s="26"/>
      <c r="K458" s="26"/>
      <c r="L458" s="26"/>
      <c r="M458" s="26"/>
      <c r="N458" s="26"/>
      <c r="O458" s="26"/>
      <c r="P458" s="26"/>
      <c r="Q458" s="10"/>
      <c r="R458" s="9"/>
      <c r="U458" s="10"/>
      <c r="V458" s="10"/>
    </row>
    <row r="459" spans="2:22" x14ac:dyDescent="0.2">
      <c r="B459" s="8"/>
      <c r="E459" s="26"/>
      <c r="F459" s="26"/>
      <c r="G459" s="26"/>
      <c r="H459" s="26"/>
      <c r="I459" s="26"/>
      <c r="J459" s="26"/>
      <c r="K459" s="26"/>
      <c r="L459" s="26"/>
      <c r="M459" s="26"/>
      <c r="N459" s="26"/>
      <c r="O459" s="26"/>
      <c r="P459" s="26"/>
      <c r="Q459" s="10"/>
      <c r="R459" s="9"/>
      <c r="U459" s="10"/>
      <c r="V459" s="10"/>
    </row>
    <row r="460" spans="2:22" x14ac:dyDescent="0.2">
      <c r="B460" s="8"/>
      <c r="E460" s="26"/>
      <c r="F460" s="26"/>
      <c r="G460" s="26"/>
      <c r="H460" s="26"/>
      <c r="I460" s="26"/>
      <c r="J460" s="26"/>
      <c r="K460" s="26"/>
      <c r="L460" s="26"/>
      <c r="M460" s="26"/>
      <c r="N460" s="26"/>
      <c r="O460" s="26"/>
      <c r="P460" s="26"/>
      <c r="Q460" s="10"/>
      <c r="R460" s="9"/>
      <c r="U460" s="10"/>
      <c r="V460" s="10"/>
    </row>
    <row r="461" spans="2:22" x14ac:dyDescent="0.2">
      <c r="B461" s="8"/>
      <c r="E461" s="26"/>
      <c r="F461" s="26"/>
      <c r="G461" s="26"/>
      <c r="H461" s="26"/>
      <c r="I461" s="26"/>
      <c r="J461" s="26"/>
      <c r="K461" s="26"/>
      <c r="L461" s="26"/>
      <c r="M461" s="26"/>
      <c r="N461" s="26"/>
      <c r="O461" s="26"/>
      <c r="P461" s="26"/>
      <c r="Q461" s="10"/>
      <c r="R461" s="9"/>
      <c r="U461" s="10"/>
      <c r="V461" s="10"/>
    </row>
    <row r="462" spans="2:22" x14ac:dyDescent="0.2">
      <c r="B462" s="8"/>
      <c r="E462" s="26"/>
      <c r="F462" s="26"/>
      <c r="G462" s="26"/>
      <c r="H462" s="26"/>
      <c r="I462" s="26"/>
      <c r="J462" s="26"/>
      <c r="K462" s="26"/>
      <c r="L462" s="26"/>
      <c r="M462" s="26"/>
      <c r="N462" s="26"/>
      <c r="O462" s="26"/>
      <c r="P462" s="26"/>
      <c r="Q462" s="10"/>
      <c r="R462" s="9"/>
      <c r="U462" s="10"/>
      <c r="V462" s="10"/>
    </row>
    <row r="463" spans="2:22" x14ac:dyDescent="0.2">
      <c r="B463" s="8"/>
      <c r="E463" s="26"/>
      <c r="F463" s="26"/>
      <c r="G463" s="26"/>
      <c r="H463" s="26"/>
      <c r="I463" s="26"/>
      <c r="J463" s="26"/>
      <c r="K463" s="26"/>
      <c r="L463" s="26"/>
      <c r="M463" s="26"/>
      <c r="N463" s="26"/>
      <c r="O463" s="26"/>
      <c r="P463" s="26"/>
      <c r="Q463" s="10"/>
      <c r="R463" s="9"/>
      <c r="U463" s="10"/>
      <c r="V463" s="10"/>
    </row>
    <row r="464" spans="2:22" x14ac:dyDescent="0.2">
      <c r="B464" s="8"/>
      <c r="E464" s="26"/>
      <c r="F464" s="26"/>
      <c r="G464" s="26"/>
      <c r="H464" s="26"/>
      <c r="I464" s="26"/>
      <c r="J464" s="26"/>
      <c r="K464" s="26"/>
      <c r="L464" s="26"/>
      <c r="M464" s="26"/>
      <c r="N464" s="26"/>
      <c r="O464" s="26"/>
      <c r="P464" s="26"/>
      <c r="Q464" s="10"/>
      <c r="R464" s="9"/>
      <c r="U464" s="10"/>
      <c r="V464" s="10"/>
    </row>
    <row r="465" spans="2:22" x14ac:dyDescent="0.2">
      <c r="B465" s="8"/>
      <c r="E465" s="26"/>
      <c r="F465" s="26"/>
      <c r="G465" s="26"/>
      <c r="H465" s="26"/>
      <c r="I465" s="26"/>
      <c r="J465" s="26"/>
      <c r="K465" s="26"/>
      <c r="L465" s="26"/>
      <c r="M465" s="26"/>
      <c r="N465" s="26"/>
      <c r="O465" s="26"/>
      <c r="P465" s="26"/>
      <c r="Q465" s="10"/>
      <c r="R465" s="9"/>
      <c r="U465" s="10"/>
      <c r="V465" s="10"/>
    </row>
    <row r="466" spans="2:22" x14ac:dyDescent="0.2">
      <c r="B466" s="8"/>
      <c r="E466" s="26"/>
      <c r="F466" s="26"/>
      <c r="G466" s="26"/>
      <c r="H466" s="26"/>
      <c r="I466" s="26"/>
      <c r="J466" s="26"/>
      <c r="K466" s="26"/>
      <c r="L466" s="26"/>
      <c r="M466" s="26"/>
      <c r="N466" s="26"/>
      <c r="O466" s="26"/>
      <c r="P466" s="26"/>
      <c r="Q466" s="10"/>
      <c r="R466" s="9"/>
      <c r="U466" s="10"/>
      <c r="V466" s="10"/>
    </row>
    <row r="467" spans="2:22" x14ac:dyDescent="0.2">
      <c r="B467" s="8"/>
      <c r="E467" s="26"/>
      <c r="F467" s="26"/>
      <c r="G467" s="26"/>
      <c r="H467" s="26"/>
      <c r="I467" s="26"/>
      <c r="J467" s="26"/>
      <c r="K467" s="26"/>
      <c r="L467" s="26"/>
      <c r="M467" s="26"/>
      <c r="N467" s="26"/>
      <c r="O467" s="26"/>
      <c r="P467" s="26"/>
      <c r="Q467" s="10"/>
      <c r="R467" s="9"/>
      <c r="U467" s="10"/>
      <c r="V467" s="10"/>
    </row>
    <row r="468" spans="2:22" x14ac:dyDescent="0.2">
      <c r="B468" s="8"/>
      <c r="E468" s="26"/>
      <c r="F468" s="26"/>
      <c r="G468" s="26"/>
      <c r="H468" s="26"/>
      <c r="I468" s="26"/>
      <c r="J468" s="26"/>
      <c r="K468" s="26"/>
      <c r="L468" s="26"/>
      <c r="M468" s="26"/>
      <c r="N468" s="26"/>
      <c r="O468" s="26"/>
      <c r="P468" s="26"/>
      <c r="Q468" s="10"/>
      <c r="R468" s="9"/>
      <c r="U468" s="10"/>
      <c r="V468" s="10"/>
    </row>
    <row r="469" spans="2:22" x14ac:dyDescent="0.2">
      <c r="B469" s="8"/>
    </row>
    <row r="470" spans="2:22" x14ac:dyDescent="0.2">
      <c r="B470" s="8"/>
    </row>
    <row r="471" spans="2:22" x14ac:dyDescent="0.2">
      <c r="B471" s="8"/>
    </row>
    <row r="472" spans="2:22" x14ac:dyDescent="0.2">
      <c r="B472" s="8"/>
    </row>
    <row r="473" spans="2:22" x14ac:dyDescent="0.2">
      <c r="B473" s="8"/>
    </row>
    <row r="474" spans="2:22" x14ac:dyDescent="0.2">
      <c r="B474" s="8"/>
    </row>
    <row r="475" spans="2:22" x14ac:dyDescent="0.2">
      <c r="B475" s="8"/>
    </row>
    <row r="476" spans="2:22" x14ac:dyDescent="0.2">
      <c r="B476" s="8"/>
    </row>
    <row r="477" spans="2:22" x14ac:dyDescent="0.2">
      <c r="B477" s="8"/>
    </row>
    <row r="478" spans="2:22" x14ac:dyDescent="0.2">
      <c r="B478" s="8"/>
    </row>
    <row r="479" spans="2:22" x14ac:dyDescent="0.2">
      <c r="B479" s="8"/>
    </row>
    <row r="480" spans="2:22" x14ac:dyDescent="0.2">
      <c r="B480" s="8"/>
    </row>
    <row r="481" spans="2:2" x14ac:dyDescent="0.2">
      <c r="B481" s="8"/>
    </row>
    <row r="482" spans="2:2" x14ac:dyDescent="0.2">
      <c r="B482" s="8"/>
    </row>
    <row r="483" spans="2:2" x14ac:dyDescent="0.2">
      <c r="B483" s="8"/>
    </row>
    <row r="484" spans="2:2" x14ac:dyDescent="0.2">
      <c r="B484" s="8"/>
    </row>
    <row r="485" spans="2:2" x14ac:dyDescent="0.2">
      <c r="B485" s="8"/>
    </row>
    <row r="486" spans="2:2" x14ac:dyDescent="0.2">
      <c r="B486" s="8"/>
    </row>
    <row r="487" spans="2:2" x14ac:dyDescent="0.2">
      <c r="B487" s="8"/>
    </row>
    <row r="488" spans="2:2" x14ac:dyDescent="0.2">
      <c r="B488" s="8"/>
    </row>
    <row r="489" spans="2:2" x14ac:dyDescent="0.2">
      <c r="B489" s="8"/>
    </row>
    <row r="490" spans="2:2" x14ac:dyDescent="0.2">
      <c r="B490" s="8"/>
    </row>
    <row r="491" spans="2:2" x14ac:dyDescent="0.2">
      <c r="B491" s="8"/>
    </row>
    <row r="492" spans="2:2" x14ac:dyDescent="0.2">
      <c r="B492" s="8"/>
    </row>
    <row r="493" spans="2:2" x14ac:dyDescent="0.2">
      <c r="B493" s="8"/>
    </row>
    <row r="494" spans="2:2" x14ac:dyDescent="0.2">
      <c r="B494" s="8"/>
    </row>
    <row r="495" spans="2:2" x14ac:dyDescent="0.2">
      <c r="B495" s="8"/>
    </row>
    <row r="496" spans="2:2" x14ac:dyDescent="0.2">
      <c r="B496" s="8"/>
    </row>
    <row r="497" spans="2:2" x14ac:dyDescent="0.2">
      <c r="B497" s="8"/>
    </row>
    <row r="498" spans="2:2" x14ac:dyDescent="0.2">
      <c r="B498" s="8"/>
    </row>
    <row r="499" spans="2:2" x14ac:dyDescent="0.2">
      <c r="B499" s="8"/>
    </row>
    <row r="500" spans="2:2" x14ac:dyDescent="0.2">
      <c r="B500" s="8"/>
    </row>
    <row r="501" spans="2:2" x14ac:dyDescent="0.2">
      <c r="B501" s="8"/>
    </row>
    <row r="502" spans="2:2" x14ac:dyDescent="0.2">
      <c r="B502" s="8"/>
    </row>
    <row r="503" spans="2:2" x14ac:dyDescent="0.2">
      <c r="B503" s="8"/>
    </row>
  </sheetData>
  <mergeCells count="294">
    <mergeCell ref="V120:V123"/>
    <mergeCell ref="V130:V133"/>
    <mergeCell ref="A16:A18"/>
    <mergeCell ref="D4:D6"/>
    <mergeCell ref="A113:A115"/>
    <mergeCell ref="E50:P50"/>
    <mergeCell ref="E80:J80"/>
    <mergeCell ref="K80:P80"/>
    <mergeCell ref="E68:G68"/>
    <mergeCell ref="D83:D85"/>
    <mergeCell ref="K88:P88"/>
    <mergeCell ref="E75:J75"/>
    <mergeCell ref="E77:J77"/>
    <mergeCell ref="E89:G89"/>
    <mergeCell ref="K73:P73"/>
    <mergeCell ref="E73:J73"/>
    <mergeCell ref="K72:P72"/>
    <mergeCell ref="E72:J72"/>
    <mergeCell ref="K71:P71"/>
    <mergeCell ref="E71:J71"/>
    <mergeCell ref="A56:A69"/>
    <mergeCell ref="B69:D69"/>
    <mergeCell ref="A42:A54"/>
    <mergeCell ref="K44:P44"/>
    <mergeCell ref="E59:J59"/>
    <mergeCell ref="K59:P59"/>
    <mergeCell ref="E57:J57"/>
    <mergeCell ref="K57:P57"/>
    <mergeCell ref="E62:P62"/>
    <mergeCell ref="E63:P63"/>
    <mergeCell ref="E45:J45"/>
    <mergeCell ref="K45:P45"/>
    <mergeCell ref="K46:P46"/>
    <mergeCell ref="E54:G54"/>
    <mergeCell ref="H54:J54"/>
    <mergeCell ref="K54:M54"/>
    <mergeCell ref="N54:P54"/>
    <mergeCell ref="E61:J61"/>
    <mergeCell ref="K61:P61"/>
    <mergeCell ref="E48:P48"/>
    <mergeCell ref="E49:P49"/>
    <mergeCell ref="E46:J46"/>
    <mergeCell ref="K55:P55"/>
    <mergeCell ref="E52:P52"/>
    <mergeCell ref="E53:P53"/>
    <mergeCell ref="A120:A133"/>
    <mergeCell ref="B126:B129"/>
    <mergeCell ref="B120:B123"/>
    <mergeCell ref="D120:D123"/>
    <mergeCell ref="E109:J109"/>
    <mergeCell ref="K112:P112"/>
    <mergeCell ref="E112:J112"/>
    <mergeCell ref="K104:P104"/>
    <mergeCell ref="K102:P102"/>
    <mergeCell ref="C105:C106"/>
    <mergeCell ref="E130:J130"/>
    <mergeCell ref="E115:J115"/>
    <mergeCell ref="K115:P115"/>
    <mergeCell ref="K113:P113"/>
    <mergeCell ref="E143:J143"/>
    <mergeCell ref="K143:P143"/>
    <mergeCell ref="E131:J131"/>
    <mergeCell ref="E132:J132"/>
    <mergeCell ref="E133:J133"/>
    <mergeCell ref="K118:P118"/>
    <mergeCell ref="E91:P91"/>
    <mergeCell ref="K90:P90"/>
    <mergeCell ref="K111:P111"/>
    <mergeCell ref="E118:J118"/>
    <mergeCell ref="K95:P95"/>
    <mergeCell ref="E97:J97"/>
    <mergeCell ref="K131:P131"/>
    <mergeCell ref="K132:P132"/>
    <mergeCell ref="K133:P133"/>
    <mergeCell ref="E136:P136"/>
    <mergeCell ref="E126:J126"/>
    <mergeCell ref="K126:P126"/>
    <mergeCell ref="E135:J135"/>
    <mergeCell ref="K135:P135"/>
    <mergeCell ref="E141:P141"/>
    <mergeCell ref="E100:P100"/>
    <mergeCell ref="E90:J90"/>
    <mergeCell ref="A147:A148"/>
    <mergeCell ref="D147:D148"/>
    <mergeCell ref="E144:J144"/>
    <mergeCell ref="K144:P144"/>
    <mergeCell ref="E121:J121"/>
    <mergeCell ref="K121:P121"/>
    <mergeCell ref="E122:J122"/>
    <mergeCell ref="K122:P122"/>
    <mergeCell ref="E123:J123"/>
    <mergeCell ref="K123:P123"/>
    <mergeCell ref="E127:J127"/>
    <mergeCell ref="K127:P127"/>
    <mergeCell ref="E128:J128"/>
    <mergeCell ref="K128:P128"/>
    <mergeCell ref="E129:J129"/>
    <mergeCell ref="K129:P129"/>
    <mergeCell ref="A134:A135"/>
    <mergeCell ref="D126:D129"/>
    <mergeCell ref="B130:B133"/>
    <mergeCell ref="D130:D133"/>
    <mergeCell ref="A138:A146"/>
    <mergeCell ref="E145:J145"/>
    <mergeCell ref="K145:P145"/>
    <mergeCell ref="E134:P134"/>
    <mergeCell ref="D77:D81"/>
    <mergeCell ref="E76:P76"/>
    <mergeCell ref="E78:J78"/>
    <mergeCell ref="E74:J74"/>
    <mergeCell ref="K78:P78"/>
    <mergeCell ref="E64:P64"/>
    <mergeCell ref="E67:P67"/>
    <mergeCell ref="H87:J87"/>
    <mergeCell ref="K87:M87"/>
    <mergeCell ref="N87:P87"/>
    <mergeCell ref="K74:P74"/>
    <mergeCell ref="H68:J68"/>
    <mergeCell ref="K68:M68"/>
    <mergeCell ref="N68:P68"/>
    <mergeCell ref="K83:P83"/>
    <mergeCell ref="K84:P84"/>
    <mergeCell ref="K75:P75"/>
    <mergeCell ref="E85:J85"/>
    <mergeCell ref="K85:P85"/>
    <mergeCell ref="K81:P81"/>
    <mergeCell ref="E65:P65"/>
    <mergeCell ref="E66:J66"/>
    <mergeCell ref="K66:P66"/>
    <mergeCell ref="U2:U6"/>
    <mergeCell ref="V2:V6"/>
    <mergeCell ref="E3:P3"/>
    <mergeCell ref="E4:J4"/>
    <mergeCell ref="K4:P4"/>
    <mergeCell ref="E5:G5"/>
    <mergeCell ref="H5:J5"/>
    <mergeCell ref="K5:M5"/>
    <mergeCell ref="Q2:Q6"/>
    <mergeCell ref="R2:R6"/>
    <mergeCell ref="N5:P5"/>
    <mergeCell ref="S2:S6"/>
    <mergeCell ref="T2:T6"/>
    <mergeCell ref="E43:P43"/>
    <mergeCell ref="E39:J39"/>
    <mergeCell ref="K39:P39"/>
    <mergeCell ref="K15:P15"/>
    <mergeCell ref="K70:P70"/>
    <mergeCell ref="E70:J70"/>
    <mergeCell ref="E83:J83"/>
    <mergeCell ref="E55:J55"/>
    <mergeCell ref="E16:J16"/>
    <mergeCell ref="K16:P16"/>
    <mergeCell ref="E22:P22"/>
    <mergeCell ref="E23:P23"/>
    <mergeCell ref="E29:J29"/>
    <mergeCell ref="K34:P34"/>
    <mergeCell ref="E20:P20"/>
    <mergeCell ref="K30:P30"/>
    <mergeCell ref="E34:J34"/>
    <mergeCell ref="E19:J19"/>
    <mergeCell ref="K19:P19"/>
    <mergeCell ref="E38:J38"/>
    <mergeCell ref="K41:P41"/>
    <mergeCell ref="E44:J44"/>
    <mergeCell ref="K40:P40"/>
    <mergeCell ref="E42:P42"/>
    <mergeCell ref="B18:D18"/>
    <mergeCell ref="E18:J18"/>
    <mergeCell ref="K18:P18"/>
    <mergeCell ref="B22:B23"/>
    <mergeCell ref="C22:C23"/>
    <mergeCell ref="E36:P36"/>
    <mergeCell ref="E24:J24"/>
    <mergeCell ref="K24:P24"/>
    <mergeCell ref="E32:J32"/>
    <mergeCell ref="K32:P32"/>
    <mergeCell ref="E33:J33"/>
    <mergeCell ref="K33:P33"/>
    <mergeCell ref="E28:J28"/>
    <mergeCell ref="K28:P28"/>
    <mergeCell ref="E30:J30"/>
    <mergeCell ref="K31:P31"/>
    <mergeCell ref="E31:J31"/>
    <mergeCell ref="E35:P35"/>
    <mergeCell ref="E25:P25"/>
    <mergeCell ref="K29:P29"/>
    <mergeCell ref="K89:M89"/>
    <mergeCell ref="H89:J89"/>
    <mergeCell ref="K97:P97"/>
    <mergeCell ref="E99:J99"/>
    <mergeCell ref="K99:P99"/>
    <mergeCell ref="N89:P89"/>
    <mergeCell ref="E86:P86"/>
    <mergeCell ref="E87:G87"/>
    <mergeCell ref="E93:J93"/>
    <mergeCell ref="K93:P93"/>
    <mergeCell ref="E95:J95"/>
    <mergeCell ref="E88:J88"/>
    <mergeCell ref="E12:J12"/>
    <mergeCell ref="K12:P12"/>
    <mergeCell ref="E114:P114"/>
    <mergeCell ref="E113:J113"/>
    <mergeCell ref="E104:J104"/>
    <mergeCell ref="C103:C104"/>
    <mergeCell ref="E102:J102"/>
    <mergeCell ref="E108:J108"/>
    <mergeCell ref="K108:P108"/>
    <mergeCell ref="K109:P109"/>
    <mergeCell ref="E110:J110"/>
    <mergeCell ref="K110:P110"/>
    <mergeCell ref="E111:J111"/>
    <mergeCell ref="C107:C108"/>
    <mergeCell ref="E106:J106"/>
    <mergeCell ref="K106:P106"/>
    <mergeCell ref="K77:P77"/>
    <mergeCell ref="E79:J79"/>
    <mergeCell ref="K79:P79"/>
    <mergeCell ref="E81:J81"/>
    <mergeCell ref="E82:P82"/>
    <mergeCell ref="E84:J84"/>
    <mergeCell ref="E21:P21"/>
    <mergeCell ref="E51:P51"/>
    <mergeCell ref="A28:A41"/>
    <mergeCell ref="B105:B106"/>
    <mergeCell ref="B107:B108"/>
    <mergeCell ref="A2:A6"/>
    <mergeCell ref="B2:B6"/>
    <mergeCell ref="C2:C6"/>
    <mergeCell ref="E2:P2"/>
    <mergeCell ref="E15:J15"/>
    <mergeCell ref="A7:A10"/>
    <mergeCell ref="E7:J7"/>
    <mergeCell ref="K7:P7"/>
    <mergeCell ref="E8:J8"/>
    <mergeCell ref="K8:P8"/>
    <mergeCell ref="E9:J9"/>
    <mergeCell ref="K9:P9"/>
    <mergeCell ref="E10:J10"/>
    <mergeCell ref="A11:A15"/>
    <mergeCell ref="E11:J11"/>
    <mergeCell ref="K11:P11"/>
    <mergeCell ref="E14:J14"/>
    <mergeCell ref="K14:P14"/>
    <mergeCell ref="K10:P10"/>
    <mergeCell ref="A70:A73"/>
    <mergeCell ref="E40:J40"/>
    <mergeCell ref="A136:A137"/>
    <mergeCell ref="E13:J13"/>
    <mergeCell ref="K13:P13"/>
    <mergeCell ref="A74:A100"/>
    <mergeCell ref="Y124:Z124"/>
    <mergeCell ref="AB124:AC124"/>
    <mergeCell ref="X124:X125"/>
    <mergeCell ref="E120:J120"/>
    <mergeCell ref="K120:P120"/>
    <mergeCell ref="A116:A119"/>
    <mergeCell ref="E125:P125"/>
    <mergeCell ref="B103:B104"/>
    <mergeCell ref="A101:A108"/>
    <mergeCell ref="A109:A112"/>
    <mergeCell ref="A19:A27"/>
    <mergeCell ref="E27:J27"/>
    <mergeCell ref="K27:P27"/>
    <mergeCell ref="E26:P26"/>
    <mergeCell ref="E37:J37"/>
    <mergeCell ref="K37:P37"/>
    <mergeCell ref="E41:J41"/>
    <mergeCell ref="K38:P38"/>
    <mergeCell ref="E69:J69"/>
    <mergeCell ref="K69:P69"/>
    <mergeCell ref="V147:V148"/>
    <mergeCell ref="E146:J146"/>
    <mergeCell ref="K146:P146"/>
    <mergeCell ref="B101:B102"/>
    <mergeCell ref="C101:C102"/>
    <mergeCell ref="E142:J142"/>
    <mergeCell ref="K142:P142"/>
    <mergeCell ref="E139:J139"/>
    <mergeCell ref="K139:P139"/>
    <mergeCell ref="E140:J140"/>
    <mergeCell ref="K140:P140"/>
    <mergeCell ref="Q147:Q148"/>
    <mergeCell ref="B117:B118"/>
    <mergeCell ref="C117:C118"/>
    <mergeCell ref="E116:P116"/>
    <mergeCell ref="E124:P124"/>
    <mergeCell ref="E138:J138"/>
    <mergeCell ref="E147:P148"/>
    <mergeCell ref="K138:P138"/>
    <mergeCell ref="B147:B148"/>
    <mergeCell ref="E119:J119"/>
    <mergeCell ref="K119:P119"/>
    <mergeCell ref="E137:P137"/>
    <mergeCell ref="K130:P130"/>
  </mergeCells>
  <dataValidations disablePrompts="1" count="2">
    <dataValidation type="list" allowBlank="1" showInputMessage="1" showErrorMessage="1" sqref="R65517:R65669 JN65517:JN65669 TJ65517:TJ65669 ADF65517:ADF65669 ANB65517:ANB65669 AWX65517:AWX65669 BGT65517:BGT65669 BQP65517:BQP65669 CAL65517:CAL65669 CKH65517:CKH65669 CUD65517:CUD65669 DDZ65517:DDZ65669 DNV65517:DNV65669 DXR65517:DXR65669 EHN65517:EHN65669 ERJ65517:ERJ65669 FBF65517:FBF65669 FLB65517:FLB65669 FUX65517:FUX65669 GET65517:GET65669 GOP65517:GOP65669 GYL65517:GYL65669 HIH65517:HIH65669 HSD65517:HSD65669 IBZ65517:IBZ65669 ILV65517:ILV65669 IVR65517:IVR65669 JFN65517:JFN65669 JPJ65517:JPJ65669 JZF65517:JZF65669 KJB65517:KJB65669 KSX65517:KSX65669 LCT65517:LCT65669 LMP65517:LMP65669 LWL65517:LWL65669 MGH65517:MGH65669 MQD65517:MQD65669 MZZ65517:MZZ65669 NJV65517:NJV65669 NTR65517:NTR65669 ODN65517:ODN65669 ONJ65517:ONJ65669 OXF65517:OXF65669 PHB65517:PHB65669 PQX65517:PQX65669 QAT65517:QAT65669 QKP65517:QKP65669 QUL65517:QUL65669 REH65517:REH65669 ROD65517:ROD65669 RXZ65517:RXZ65669 SHV65517:SHV65669 SRR65517:SRR65669 TBN65517:TBN65669 TLJ65517:TLJ65669 TVF65517:TVF65669 UFB65517:UFB65669 UOX65517:UOX65669 UYT65517:UYT65669 VIP65517:VIP65669 VSL65517:VSL65669 WCH65517:WCH65669 WMD65517:WMD65669 WVZ65517:WVZ65669 R131053:R131205 JN131053:JN131205 TJ131053:TJ131205 ADF131053:ADF131205 ANB131053:ANB131205 AWX131053:AWX131205 BGT131053:BGT131205 BQP131053:BQP131205 CAL131053:CAL131205 CKH131053:CKH131205 CUD131053:CUD131205 DDZ131053:DDZ131205 DNV131053:DNV131205 DXR131053:DXR131205 EHN131053:EHN131205 ERJ131053:ERJ131205 FBF131053:FBF131205 FLB131053:FLB131205 FUX131053:FUX131205 GET131053:GET131205 GOP131053:GOP131205 GYL131053:GYL131205 HIH131053:HIH131205 HSD131053:HSD131205 IBZ131053:IBZ131205 ILV131053:ILV131205 IVR131053:IVR131205 JFN131053:JFN131205 JPJ131053:JPJ131205 JZF131053:JZF131205 KJB131053:KJB131205 KSX131053:KSX131205 LCT131053:LCT131205 LMP131053:LMP131205 LWL131053:LWL131205 MGH131053:MGH131205 MQD131053:MQD131205 MZZ131053:MZZ131205 NJV131053:NJV131205 NTR131053:NTR131205 ODN131053:ODN131205 ONJ131053:ONJ131205 OXF131053:OXF131205 PHB131053:PHB131205 PQX131053:PQX131205 QAT131053:QAT131205 QKP131053:QKP131205 QUL131053:QUL131205 REH131053:REH131205 ROD131053:ROD131205 RXZ131053:RXZ131205 SHV131053:SHV131205 SRR131053:SRR131205 TBN131053:TBN131205 TLJ131053:TLJ131205 TVF131053:TVF131205 UFB131053:UFB131205 UOX131053:UOX131205 UYT131053:UYT131205 VIP131053:VIP131205 VSL131053:VSL131205 WCH131053:WCH131205 WMD131053:WMD131205 WVZ131053:WVZ131205 R196589:R196741 JN196589:JN196741 TJ196589:TJ196741 ADF196589:ADF196741 ANB196589:ANB196741 AWX196589:AWX196741 BGT196589:BGT196741 BQP196589:BQP196741 CAL196589:CAL196741 CKH196589:CKH196741 CUD196589:CUD196741 DDZ196589:DDZ196741 DNV196589:DNV196741 DXR196589:DXR196741 EHN196589:EHN196741 ERJ196589:ERJ196741 FBF196589:FBF196741 FLB196589:FLB196741 FUX196589:FUX196741 GET196589:GET196741 GOP196589:GOP196741 GYL196589:GYL196741 HIH196589:HIH196741 HSD196589:HSD196741 IBZ196589:IBZ196741 ILV196589:ILV196741 IVR196589:IVR196741 JFN196589:JFN196741 JPJ196589:JPJ196741 JZF196589:JZF196741 KJB196589:KJB196741 KSX196589:KSX196741 LCT196589:LCT196741 LMP196589:LMP196741 LWL196589:LWL196741 MGH196589:MGH196741 MQD196589:MQD196741 MZZ196589:MZZ196741 NJV196589:NJV196741 NTR196589:NTR196741 ODN196589:ODN196741 ONJ196589:ONJ196741 OXF196589:OXF196741 PHB196589:PHB196741 PQX196589:PQX196741 QAT196589:QAT196741 QKP196589:QKP196741 QUL196589:QUL196741 REH196589:REH196741 ROD196589:ROD196741 RXZ196589:RXZ196741 SHV196589:SHV196741 SRR196589:SRR196741 TBN196589:TBN196741 TLJ196589:TLJ196741 TVF196589:TVF196741 UFB196589:UFB196741 UOX196589:UOX196741 UYT196589:UYT196741 VIP196589:VIP196741 VSL196589:VSL196741 WCH196589:WCH196741 WMD196589:WMD196741 WVZ196589:WVZ196741 R262125:R262277 JN262125:JN262277 TJ262125:TJ262277 ADF262125:ADF262277 ANB262125:ANB262277 AWX262125:AWX262277 BGT262125:BGT262277 BQP262125:BQP262277 CAL262125:CAL262277 CKH262125:CKH262277 CUD262125:CUD262277 DDZ262125:DDZ262277 DNV262125:DNV262277 DXR262125:DXR262277 EHN262125:EHN262277 ERJ262125:ERJ262277 FBF262125:FBF262277 FLB262125:FLB262277 FUX262125:FUX262277 GET262125:GET262277 GOP262125:GOP262277 GYL262125:GYL262277 HIH262125:HIH262277 HSD262125:HSD262277 IBZ262125:IBZ262277 ILV262125:ILV262277 IVR262125:IVR262277 JFN262125:JFN262277 JPJ262125:JPJ262277 JZF262125:JZF262277 KJB262125:KJB262277 KSX262125:KSX262277 LCT262125:LCT262277 LMP262125:LMP262277 LWL262125:LWL262277 MGH262125:MGH262277 MQD262125:MQD262277 MZZ262125:MZZ262277 NJV262125:NJV262277 NTR262125:NTR262277 ODN262125:ODN262277 ONJ262125:ONJ262277 OXF262125:OXF262277 PHB262125:PHB262277 PQX262125:PQX262277 QAT262125:QAT262277 QKP262125:QKP262277 QUL262125:QUL262277 REH262125:REH262277 ROD262125:ROD262277 RXZ262125:RXZ262277 SHV262125:SHV262277 SRR262125:SRR262277 TBN262125:TBN262277 TLJ262125:TLJ262277 TVF262125:TVF262277 UFB262125:UFB262277 UOX262125:UOX262277 UYT262125:UYT262277 VIP262125:VIP262277 VSL262125:VSL262277 WCH262125:WCH262277 WMD262125:WMD262277 WVZ262125:WVZ262277 R327661:R327813 JN327661:JN327813 TJ327661:TJ327813 ADF327661:ADF327813 ANB327661:ANB327813 AWX327661:AWX327813 BGT327661:BGT327813 BQP327661:BQP327813 CAL327661:CAL327813 CKH327661:CKH327813 CUD327661:CUD327813 DDZ327661:DDZ327813 DNV327661:DNV327813 DXR327661:DXR327813 EHN327661:EHN327813 ERJ327661:ERJ327813 FBF327661:FBF327813 FLB327661:FLB327813 FUX327661:FUX327813 GET327661:GET327813 GOP327661:GOP327813 GYL327661:GYL327813 HIH327661:HIH327813 HSD327661:HSD327813 IBZ327661:IBZ327813 ILV327661:ILV327813 IVR327661:IVR327813 JFN327661:JFN327813 JPJ327661:JPJ327813 JZF327661:JZF327813 KJB327661:KJB327813 KSX327661:KSX327813 LCT327661:LCT327813 LMP327661:LMP327813 LWL327661:LWL327813 MGH327661:MGH327813 MQD327661:MQD327813 MZZ327661:MZZ327813 NJV327661:NJV327813 NTR327661:NTR327813 ODN327661:ODN327813 ONJ327661:ONJ327813 OXF327661:OXF327813 PHB327661:PHB327813 PQX327661:PQX327813 QAT327661:QAT327813 QKP327661:QKP327813 QUL327661:QUL327813 REH327661:REH327813 ROD327661:ROD327813 RXZ327661:RXZ327813 SHV327661:SHV327813 SRR327661:SRR327813 TBN327661:TBN327813 TLJ327661:TLJ327813 TVF327661:TVF327813 UFB327661:UFB327813 UOX327661:UOX327813 UYT327661:UYT327813 VIP327661:VIP327813 VSL327661:VSL327813 WCH327661:WCH327813 WMD327661:WMD327813 WVZ327661:WVZ327813 R393197:R393349 JN393197:JN393349 TJ393197:TJ393349 ADF393197:ADF393349 ANB393197:ANB393349 AWX393197:AWX393349 BGT393197:BGT393349 BQP393197:BQP393349 CAL393197:CAL393349 CKH393197:CKH393349 CUD393197:CUD393349 DDZ393197:DDZ393349 DNV393197:DNV393349 DXR393197:DXR393349 EHN393197:EHN393349 ERJ393197:ERJ393349 FBF393197:FBF393349 FLB393197:FLB393349 FUX393197:FUX393349 GET393197:GET393349 GOP393197:GOP393349 GYL393197:GYL393349 HIH393197:HIH393349 HSD393197:HSD393349 IBZ393197:IBZ393349 ILV393197:ILV393349 IVR393197:IVR393349 JFN393197:JFN393349 JPJ393197:JPJ393349 JZF393197:JZF393349 KJB393197:KJB393349 KSX393197:KSX393349 LCT393197:LCT393349 LMP393197:LMP393349 LWL393197:LWL393349 MGH393197:MGH393349 MQD393197:MQD393349 MZZ393197:MZZ393349 NJV393197:NJV393349 NTR393197:NTR393349 ODN393197:ODN393349 ONJ393197:ONJ393349 OXF393197:OXF393349 PHB393197:PHB393349 PQX393197:PQX393349 QAT393197:QAT393349 QKP393197:QKP393349 QUL393197:QUL393349 REH393197:REH393349 ROD393197:ROD393349 RXZ393197:RXZ393349 SHV393197:SHV393349 SRR393197:SRR393349 TBN393197:TBN393349 TLJ393197:TLJ393349 TVF393197:TVF393349 UFB393197:UFB393349 UOX393197:UOX393349 UYT393197:UYT393349 VIP393197:VIP393349 VSL393197:VSL393349 WCH393197:WCH393349 WMD393197:WMD393349 WVZ393197:WVZ393349 R458733:R458885 JN458733:JN458885 TJ458733:TJ458885 ADF458733:ADF458885 ANB458733:ANB458885 AWX458733:AWX458885 BGT458733:BGT458885 BQP458733:BQP458885 CAL458733:CAL458885 CKH458733:CKH458885 CUD458733:CUD458885 DDZ458733:DDZ458885 DNV458733:DNV458885 DXR458733:DXR458885 EHN458733:EHN458885 ERJ458733:ERJ458885 FBF458733:FBF458885 FLB458733:FLB458885 FUX458733:FUX458885 GET458733:GET458885 GOP458733:GOP458885 GYL458733:GYL458885 HIH458733:HIH458885 HSD458733:HSD458885 IBZ458733:IBZ458885 ILV458733:ILV458885 IVR458733:IVR458885 JFN458733:JFN458885 JPJ458733:JPJ458885 JZF458733:JZF458885 KJB458733:KJB458885 KSX458733:KSX458885 LCT458733:LCT458885 LMP458733:LMP458885 LWL458733:LWL458885 MGH458733:MGH458885 MQD458733:MQD458885 MZZ458733:MZZ458885 NJV458733:NJV458885 NTR458733:NTR458885 ODN458733:ODN458885 ONJ458733:ONJ458885 OXF458733:OXF458885 PHB458733:PHB458885 PQX458733:PQX458885 QAT458733:QAT458885 QKP458733:QKP458885 QUL458733:QUL458885 REH458733:REH458885 ROD458733:ROD458885 RXZ458733:RXZ458885 SHV458733:SHV458885 SRR458733:SRR458885 TBN458733:TBN458885 TLJ458733:TLJ458885 TVF458733:TVF458885 UFB458733:UFB458885 UOX458733:UOX458885 UYT458733:UYT458885 VIP458733:VIP458885 VSL458733:VSL458885 WCH458733:WCH458885 WMD458733:WMD458885 WVZ458733:WVZ458885 R524269:R524421 JN524269:JN524421 TJ524269:TJ524421 ADF524269:ADF524421 ANB524269:ANB524421 AWX524269:AWX524421 BGT524269:BGT524421 BQP524269:BQP524421 CAL524269:CAL524421 CKH524269:CKH524421 CUD524269:CUD524421 DDZ524269:DDZ524421 DNV524269:DNV524421 DXR524269:DXR524421 EHN524269:EHN524421 ERJ524269:ERJ524421 FBF524269:FBF524421 FLB524269:FLB524421 FUX524269:FUX524421 GET524269:GET524421 GOP524269:GOP524421 GYL524269:GYL524421 HIH524269:HIH524421 HSD524269:HSD524421 IBZ524269:IBZ524421 ILV524269:ILV524421 IVR524269:IVR524421 JFN524269:JFN524421 JPJ524269:JPJ524421 JZF524269:JZF524421 KJB524269:KJB524421 KSX524269:KSX524421 LCT524269:LCT524421 LMP524269:LMP524421 LWL524269:LWL524421 MGH524269:MGH524421 MQD524269:MQD524421 MZZ524269:MZZ524421 NJV524269:NJV524421 NTR524269:NTR524421 ODN524269:ODN524421 ONJ524269:ONJ524421 OXF524269:OXF524421 PHB524269:PHB524421 PQX524269:PQX524421 QAT524269:QAT524421 QKP524269:QKP524421 QUL524269:QUL524421 REH524269:REH524421 ROD524269:ROD524421 RXZ524269:RXZ524421 SHV524269:SHV524421 SRR524269:SRR524421 TBN524269:TBN524421 TLJ524269:TLJ524421 TVF524269:TVF524421 UFB524269:UFB524421 UOX524269:UOX524421 UYT524269:UYT524421 VIP524269:VIP524421 VSL524269:VSL524421 WCH524269:WCH524421 WMD524269:WMD524421 WVZ524269:WVZ524421 R589805:R589957 JN589805:JN589957 TJ589805:TJ589957 ADF589805:ADF589957 ANB589805:ANB589957 AWX589805:AWX589957 BGT589805:BGT589957 BQP589805:BQP589957 CAL589805:CAL589957 CKH589805:CKH589957 CUD589805:CUD589957 DDZ589805:DDZ589957 DNV589805:DNV589957 DXR589805:DXR589957 EHN589805:EHN589957 ERJ589805:ERJ589957 FBF589805:FBF589957 FLB589805:FLB589957 FUX589805:FUX589957 GET589805:GET589957 GOP589805:GOP589957 GYL589805:GYL589957 HIH589805:HIH589957 HSD589805:HSD589957 IBZ589805:IBZ589957 ILV589805:ILV589957 IVR589805:IVR589957 JFN589805:JFN589957 JPJ589805:JPJ589957 JZF589805:JZF589957 KJB589805:KJB589957 KSX589805:KSX589957 LCT589805:LCT589957 LMP589805:LMP589957 LWL589805:LWL589957 MGH589805:MGH589957 MQD589805:MQD589957 MZZ589805:MZZ589957 NJV589805:NJV589957 NTR589805:NTR589957 ODN589805:ODN589957 ONJ589805:ONJ589957 OXF589805:OXF589957 PHB589805:PHB589957 PQX589805:PQX589957 QAT589805:QAT589957 QKP589805:QKP589957 QUL589805:QUL589957 REH589805:REH589957 ROD589805:ROD589957 RXZ589805:RXZ589957 SHV589805:SHV589957 SRR589805:SRR589957 TBN589805:TBN589957 TLJ589805:TLJ589957 TVF589805:TVF589957 UFB589805:UFB589957 UOX589805:UOX589957 UYT589805:UYT589957 VIP589805:VIP589957 VSL589805:VSL589957 WCH589805:WCH589957 WMD589805:WMD589957 WVZ589805:WVZ589957 R655341:R655493 JN655341:JN655493 TJ655341:TJ655493 ADF655341:ADF655493 ANB655341:ANB655493 AWX655341:AWX655493 BGT655341:BGT655493 BQP655341:BQP655493 CAL655341:CAL655493 CKH655341:CKH655493 CUD655341:CUD655493 DDZ655341:DDZ655493 DNV655341:DNV655493 DXR655341:DXR655493 EHN655341:EHN655493 ERJ655341:ERJ655493 FBF655341:FBF655493 FLB655341:FLB655493 FUX655341:FUX655493 GET655341:GET655493 GOP655341:GOP655493 GYL655341:GYL655493 HIH655341:HIH655493 HSD655341:HSD655493 IBZ655341:IBZ655493 ILV655341:ILV655493 IVR655341:IVR655493 JFN655341:JFN655493 JPJ655341:JPJ655493 JZF655341:JZF655493 KJB655341:KJB655493 KSX655341:KSX655493 LCT655341:LCT655493 LMP655341:LMP655493 LWL655341:LWL655493 MGH655341:MGH655493 MQD655341:MQD655493 MZZ655341:MZZ655493 NJV655341:NJV655493 NTR655341:NTR655493 ODN655341:ODN655493 ONJ655341:ONJ655493 OXF655341:OXF655493 PHB655341:PHB655493 PQX655341:PQX655493 QAT655341:QAT655493 QKP655341:QKP655493 QUL655341:QUL655493 REH655341:REH655493 ROD655341:ROD655493 RXZ655341:RXZ655493 SHV655341:SHV655493 SRR655341:SRR655493 TBN655341:TBN655493 TLJ655341:TLJ655493 TVF655341:TVF655493 UFB655341:UFB655493 UOX655341:UOX655493 UYT655341:UYT655493 VIP655341:VIP655493 VSL655341:VSL655493 WCH655341:WCH655493 WMD655341:WMD655493 WVZ655341:WVZ655493 R720877:R721029 JN720877:JN721029 TJ720877:TJ721029 ADF720877:ADF721029 ANB720877:ANB721029 AWX720877:AWX721029 BGT720877:BGT721029 BQP720877:BQP721029 CAL720877:CAL721029 CKH720877:CKH721029 CUD720877:CUD721029 DDZ720877:DDZ721029 DNV720877:DNV721029 DXR720877:DXR721029 EHN720877:EHN721029 ERJ720877:ERJ721029 FBF720877:FBF721029 FLB720877:FLB721029 FUX720877:FUX721029 GET720877:GET721029 GOP720877:GOP721029 GYL720877:GYL721029 HIH720877:HIH721029 HSD720877:HSD721029 IBZ720877:IBZ721029 ILV720877:ILV721029 IVR720877:IVR721029 JFN720877:JFN721029 JPJ720877:JPJ721029 JZF720877:JZF721029 KJB720877:KJB721029 KSX720877:KSX721029 LCT720877:LCT721029 LMP720877:LMP721029 LWL720877:LWL721029 MGH720877:MGH721029 MQD720877:MQD721029 MZZ720877:MZZ721029 NJV720877:NJV721029 NTR720877:NTR721029 ODN720877:ODN721029 ONJ720877:ONJ721029 OXF720877:OXF721029 PHB720877:PHB721029 PQX720877:PQX721029 QAT720877:QAT721029 QKP720877:QKP721029 QUL720877:QUL721029 REH720877:REH721029 ROD720877:ROD721029 RXZ720877:RXZ721029 SHV720877:SHV721029 SRR720877:SRR721029 TBN720877:TBN721029 TLJ720877:TLJ721029 TVF720877:TVF721029 UFB720877:UFB721029 UOX720877:UOX721029 UYT720877:UYT721029 VIP720877:VIP721029 VSL720877:VSL721029 WCH720877:WCH721029 WMD720877:WMD721029 WVZ720877:WVZ721029 R786413:R786565 JN786413:JN786565 TJ786413:TJ786565 ADF786413:ADF786565 ANB786413:ANB786565 AWX786413:AWX786565 BGT786413:BGT786565 BQP786413:BQP786565 CAL786413:CAL786565 CKH786413:CKH786565 CUD786413:CUD786565 DDZ786413:DDZ786565 DNV786413:DNV786565 DXR786413:DXR786565 EHN786413:EHN786565 ERJ786413:ERJ786565 FBF786413:FBF786565 FLB786413:FLB786565 FUX786413:FUX786565 GET786413:GET786565 GOP786413:GOP786565 GYL786413:GYL786565 HIH786413:HIH786565 HSD786413:HSD786565 IBZ786413:IBZ786565 ILV786413:ILV786565 IVR786413:IVR786565 JFN786413:JFN786565 JPJ786413:JPJ786565 JZF786413:JZF786565 KJB786413:KJB786565 KSX786413:KSX786565 LCT786413:LCT786565 LMP786413:LMP786565 LWL786413:LWL786565 MGH786413:MGH786565 MQD786413:MQD786565 MZZ786413:MZZ786565 NJV786413:NJV786565 NTR786413:NTR786565 ODN786413:ODN786565 ONJ786413:ONJ786565 OXF786413:OXF786565 PHB786413:PHB786565 PQX786413:PQX786565 QAT786413:QAT786565 QKP786413:QKP786565 QUL786413:QUL786565 REH786413:REH786565 ROD786413:ROD786565 RXZ786413:RXZ786565 SHV786413:SHV786565 SRR786413:SRR786565 TBN786413:TBN786565 TLJ786413:TLJ786565 TVF786413:TVF786565 UFB786413:UFB786565 UOX786413:UOX786565 UYT786413:UYT786565 VIP786413:VIP786565 VSL786413:VSL786565 WCH786413:WCH786565 WMD786413:WMD786565 WVZ786413:WVZ786565 R851949:R852101 JN851949:JN852101 TJ851949:TJ852101 ADF851949:ADF852101 ANB851949:ANB852101 AWX851949:AWX852101 BGT851949:BGT852101 BQP851949:BQP852101 CAL851949:CAL852101 CKH851949:CKH852101 CUD851949:CUD852101 DDZ851949:DDZ852101 DNV851949:DNV852101 DXR851949:DXR852101 EHN851949:EHN852101 ERJ851949:ERJ852101 FBF851949:FBF852101 FLB851949:FLB852101 FUX851949:FUX852101 GET851949:GET852101 GOP851949:GOP852101 GYL851949:GYL852101 HIH851949:HIH852101 HSD851949:HSD852101 IBZ851949:IBZ852101 ILV851949:ILV852101 IVR851949:IVR852101 JFN851949:JFN852101 JPJ851949:JPJ852101 JZF851949:JZF852101 KJB851949:KJB852101 KSX851949:KSX852101 LCT851949:LCT852101 LMP851949:LMP852101 LWL851949:LWL852101 MGH851949:MGH852101 MQD851949:MQD852101 MZZ851949:MZZ852101 NJV851949:NJV852101 NTR851949:NTR852101 ODN851949:ODN852101 ONJ851949:ONJ852101 OXF851949:OXF852101 PHB851949:PHB852101 PQX851949:PQX852101 QAT851949:QAT852101 QKP851949:QKP852101 QUL851949:QUL852101 REH851949:REH852101 ROD851949:ROD852101 RXZ851949:RXZ852101 SHV851949:SHV852101 SRR851949:SRR852101 TBN851949:TBN852101 TLJ851949:TLJ852101 TVF851949:TVF852101 UFB851949:UFB852101 UOX851949:UOX852101 UYT851949:UYT852101 VIP851949:VIP852101 VSL851949:VSL852101 WCH851949:WCH852101 WMD851949:WMD852101 WVZ851949:WVZ852101 R917485:R917637 JN917485:JN917637 TJ917485:TJ917637 ADF917485:ADF917637 ANB917485:ANB917637 AWX917485:AWX917637 BGT917485:BGT917637 BQP917485:BQP917637 CAL917485:CAL917637 CKH917485:CKH917637 CUD917485:CUD917637 DDZ917485:DDZ917637 DNV917485:DNV917637 DXR917485:DXR917637 EHN917485:EHN917637 ERJ917485:ERJ917637 FBF917485:FBF917637 FLB917485:FLB917637 FUX917485:FUX917637 GET917485:GET917637 GOP917485:GOP917637 GYL917485:GYL917637 HIH917485:HIH917637 HSD917485:HSD917637 IBZ917485:IBZ917637 ILV917485:ILV917637 IVR917485:IVR917637 JFN917485:JFN917637 JPJ917485:JPJ917637 JZF917485:JZF917637 KJB917485:KJB917637 KSX917485:KSX917637 LCT917485:LCT917637 LMP917485:LMP917637 LWL917485:LWL917637 MGH917485:MGH917637 MQD917485:MQD917637 MZZ917485:MZZ917637 NJV917485:NJV917637 NTR917485:NTR917637 ODN917485:ODN917637 ONJ917485:ONJ917637 OXF917485:OXF917637 PHB917485:PHB917637 PQX917485:PQX917637 QAT917485:QAT917637 QKP917485:QKP917637 QUL917485:QUL917637 REH917485:REH917637 ROD917485:ROD917637 RXZ917485:RXZ917637 SHV917485:SHV917637 SRR917485:SRR917637 TBN917485:TBN917637 TLJ917485:TLJ917637 TVF917485:TVF917637 UFB917485:UFB917637 UOX917485:UOX917637 UYT917485:UYT917637 VIP917485:VIP917637 VSL917485:VSL917637 WCH917485:WCH917637 WMD917485:WMD917637 WVZ917485:WVZ917637 R983021:R983173 JN983021:JN983173 TJ983021:TJ983173 ADF983021:ADF983173 ANB983021:ANB983173 AWX983021:AWX983173 BGT983021:BGT983173 BQP983021:BQP983173 CAL983021:CAL983173 CKH983021:CKH983173 CUD983021:CUD983173 DDZ983021:DDZ983173 DNV983021:DNV983173 DXR983021:DXR983173 EHN983021:EHN983173 ERJ983021:ERJ983173 FBF983021:FBF983173 FLB983021:FLB983173 FUX983021:FUX983173 GET983021:GET983173 GOP983021:GOP983173 GYL983021:GYL983173 HIH983021:HIH983173 HSD983021:HSD983173 IBZ983021:IBZ983173 ILV983021:ILV983173 IVR983021:IVR983173 JFN983021:JFN983173 JPJ983021:JPJ983173 JZF983021:JZF983173 KJB983021:KJB983173 KSX983021:KSX983173 LCT983021:LCT983173 LMP983021:LMP983173 LWL983021:LWL983173 MGH983021:MGH983173 MQD983021:MQD983173 MZZ983021:MZZ983173 NJV983021:NJV983173 NTR983021:NTR983173 ODN983021:ODN983173 ONJ983021:ONJ983173 OXF983021:OXF983173 PHB983021:PHB983173 PQX983021:PQX983173 QAT983021:QAT983173 QKP983021:QKP983173 QUL983021:QUL983173 REH983021:REH983173 ROD983021:ROD983173 RXZ983021:RXZ983173 SHV983021:SHV983173 SRR983021:SRR983173 TBN983021:TBN983173 TLJ983021:TLJ983173 TVF983021:TVF983173 UFB983021:UFB983173 UOX983021:UOX983173 UYT983021:UYT983173 VIP983021:VIP983173 VSL983021:VSL983173 WCH983021:WCH983173 WMD983021:WMD983173 WVZ983021:WVZ983173 R7:R19 R120:R146 WVZ120:WVZ146 WMD120:WMD146 WCH120:WCH146 VSL120:VSL146 VIP120:VIP146 UYT120:UYT146 UOX120:UOX146 UFB120:UFB146 TVF120:TVF146 TLJ120:TLJ146 TBN120:TBN146 SRR120:SRR146 SHV120:SHV146 RXZ120:RXZ146 ROD120:ROD146 REH120:REH146 QUL120:QUL146 QKP120:QKP146 QAT120:QAT146 PQX120:PQX146 PHB120:PHB146 OXF120:OXF146 ONJ120:ONJ146 ODN120:ODN146 NTR120:NTR146 NJV120:NJV146 MZZ120:MZZ146 MQD120:MQD146 MGH120:MGH146 LWL120:LWL146 LMP120:LMP146 LCT120:LCT146 KSX120:KSX146 KJB120:KJB146 JZF120:JZF146 JPJ120:JPJ146 JFN120:JFN146 IVR120:IVR146 ILV120:ILV146 IBZ120:IBZ146 HSD120:HSD146 HIH120:HIH146 GYL120:GYL146 GOP120:GOP146 GET120:GET146 FUX120:FUX146 FLB120:FLB146 FBF120:FBF146 ERJ120:ERJ146 EHN120:EHN146 DXR120:DXR146 DNV120:DNV146 DDZ120:DDZ146 CUD120:CUD146 CKH120:CKH146 CAL120:CAL146 BQP120:BQP146 BGT120:BGT146 AWX120:AWX146 ANB120:ANB146 ADF120:ADF146 TJ120:TJ146 JN120:JN146 WVZ7:WVZ117 WMD7:WMD117 WCH7:WCH117 VSL7:VSL117 VIP7:VIP117 UYT7:UYT117 UOX7:UOX117 UFB7:UFB117 TVF7:TVF117 TLJ7:TLJ117 TBN7:TBN117 SRR7:SRR117 SHV7:SHV117 RXZ7:RXZ117 ROD7:ROD117 REH7:REH117 QUL7:QUL117 QKP7:QKP117 QAT7:QAT117 PQX7:PQX117 PHB7:PHB117 OXF7:OXF117 ONJ7:ONJ117 ODN7:ODN117 NTR7:NTR117 NJV7:NJV117 MZZ7:MZZ117 MQD7:MQD117 MGH7:MGH117 LWL7:LWL117 LMP7:LMP117 LCT7:LCT117 KSX7:KSX117 KJB7:KJB117 JZF7:JZF117 JPJ7:JPJ117 JFN7:JFN117 IVR7:IVR117 ILV7:ILV117 IBZ7:IBZ117 HSD7:HSD117 HIH7:HIH117 GYL7:GYL117 GOP7:GOP117 GET7:GET117 FUX7:FUX117 FLB7:FLB117 FBF7:FBF117 ERJ7:ERJ117 EHN7:EHN117 DXR7:DXR117 DNV7:DNV117 DDZ7:DDZ117 CUD7:CUD117 CKH7:CKH117 CAL7:CAL117 BQP7:BQP117 BGT7:BGT117 AWX7:AWX117 ANB7:ANB117 ADF7:ADF117 TJ7:TJ117 JN7:JN117 R25:R50 R54:R117" xr:uid="{00000000-0002-0000-0000-000000000000}">
      <formula1>#REF!</formula1>
    </dataValidation>
    <dataValidation type="list" allowBlank="1" showInputMessage="1" showErrorMessage="1" sqref="R51:R53" xr:uid="{00000000-0002-0000-0000-000001000000}">
      <formula1>#REF!</formula1>
    </dataValidation>
  </dataValidations>
  <printOptions horizontalCentered="1"/>
  <pageMargins left="0.78740157480314965" right="0.78740157480314965" top="0.98425196850393704" bottom="0.6692913385826772" header="0.47244094488188981" footer="0"/>
  <pageSetup paperSize="14" scale="26" orientation="landscape" r:id="rId1"/>
  <headerFooter alignWithMargins="0">
    <oddHeader>&amp;C&amp;14INVENTARIO INDICADORES REPORTADOS
CALIDAD</oddHeader>
    <oddFooter>&amp;LGiovannni&amp;CPágina &amp;P&amp;R&amp;D</oddFooter>
  </headerFooter>
  <rowBreaks count="1" manualBreakCount="1">
    <brk id="49" max="47" man="1"/>
  </rowBreaks>
  <colBreaks count="1" manualBreakCount="1">
    <brk id="1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indicadores 2022</vt:lpstr>
      <vt:lpstr>'indicadores 2022'!Área_de_impresión</vt:lpstr>
      <vt:lpstr>'indicadores 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Docente</dc:creator>
  <cp:lastModifiedBy>User</cp:lastModifiedBy>
  <dcterms:created xsi:type="dcterms:W3CDTF">2021-03-04T01:49:20Z</dcterms:created>
  <dcterms:modified xsi:type="dcterms:W3CDTF">2023-05-28T22:39:00Z</dcterms:modified>
</cp:coreProperties>
</file>