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Bienestar\"/>
    </mc:Choice>
  </mc:AlternateContent>
  <xr:revisionPtr revIDLastSave="0" documentId="13_ncr:1_{DA85981D-6677-4035-BF8E-732CC09C4256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8" i="7" l="1"/>
  <c r="N27" i="7" l="1"/>
  <c r="N26" i="7"/>
  <c r="N25" i="7"/>
  <c r="N24" i="7"/>
  <c r="N23" i="7"/>
  <c r="N39" i="7"/>
  <c r="N30" i="7"/>
  <c r="N38" i="7"/>
  <c r="N17" i="7" l="1"/>
  <c r="N14" i="7"/>
  <c r="L39" i="7" l="1"/>
  <c r="J39" i="7"/>
  <c r="H39" i="7"/>
  <c r="N21" i="7"/>
  <c r="N20" i="7"/>
  <c r="N19" i="7"/>
  <c r="H18" i="7" l="1"/>
  <c r="J18" i="7"/>
  <c r="L18" i="7"/>
  <c r="H19" i="7"/>
  <c r="J19" i="7"/>
  <c r="L19" i="7"/>
  <c r="H20" i="7"/>
  <c r="J20" i="7"/>
  <c r="L20" i="7"/>
  <c r="H21" i="7"/>
  <c r="J21" i="7"/>
  <c r="L21" i="7"/>
  <c r="H22" i="7"/>
  <c r="J22" i="7"/>
  <c r="L22" i="7"/>
  <c r="H23" i="7"/>
  <c r="J23" i="7"/>
  <c r="L23" i="7"/>
  <c r="H24" i="7"/>
  <c r="J24" i="7"/>
  <c r="L24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L35" i="7"/>
  <c r="H36" i="7"/>
  <c r="J36" i="7"/>
  <c r="L36" i="7"/>
  <c r="H37" i="7"/>
  <c r="J37" i="7"/>
  <c r="L37" i="7"/>
  <c r="H38" i="7"/>
  <c r="J38" i="7"/>
  <c r="L38" i="7"/>
  <c r="H40" i="7"/>
  <c r="J40" i="7"/>
  <c r="L40" i="7"/>
  <c r="H41" i="7"/>
  <c r="J41" i="7"/>
  <c r="L41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H58" i="7"/>
  <c r="J58" i="7"/>
  <c r="L58" i="7"/>
  <c r="H59" i="7"/>
  <c r="J59" i="7"/>
  <c r="L59" i="7"/>
  <c r="H60" i="7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H90" i="7"/>
  <c r="J90" i="7"/>
  <c r="L90" i="7"/>
  <c r="H91" i="7"/>
  <c r="J91" i="7"/>
  <c r="L91" i="7"/>
  <c r="H92" i="7"/>
  <c r="J92" i="7"/>
  <c r="L92" i="7"/>
  <c r="H93" i="7"/>
  <c r="J93" i="7"/>
  <c r="L93" i="7"/>
  <c r="H94" i="7"/>
  <c r="J94" i="7"/>
  <c r="L94" i="7"/>
  <c r="H95" i="7"/>
  <c r="J95" i="7"/>
  <c r="L95" i="7"/>
  <c r="H96" i="7"/>
  <c r="J96" i="7"/>
  <c r="L96" i="7"/>
  <c r="H97" i="7"/>
  <c r="J97" i="7"/>
  <c r="L97" i="7"/>
  <c r="H98" i="7"/>
  <c r="J98" i="7"/>
  <c r="L98" i="7"/>
  <c r="H99" i="7"/>
  <c r="J99" i="7"/>
  <c r="L99" i="7"/>
  <c r="H100" i="7"/>
  <c r="J100" i="7"/>
  <c r="L100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9" i="7"/>
  <c r="B20" i="7"/>
  <c r="B21" i="7"/>
  <c r="E50" i="12" l="1"/>
  <c r="J41" i="12"/>
  <c r="G41" i="12"/>
  <c r="F48" i="12" s="1"/>
  <c r="H101" i="7"/>
  <c r="J101" i="7"/>
  <c r="L101" i="7"/>
  <c r="F45" i="12" l="1"/>
  <c r="F49" i="12"/>
  <c r="F46" i="12"/>
  <c r="F44" i="12"/>
  <c r="H44" i="12" s="1"/>
  <c r="F47" i="12"/>
  <c r="B17" i="7"/>
  <c r="B18" i="7"/>
  <c r="B14" i="7"/>
  <c r="B15" i="7"/>
  <c r="B16" i="7"/>
  <c r="H14" i="7" l="1"/>
  <c r="J14" i="7"/>
  <c r="L14" i="7"/>
  <c r="H15" i="7"/>
  <c r="J15" i="7"/>
  <c r="L15" i="7"/>
  <c r="H16" i="7"/>
  <c r="J16" i="7"/>
  <c r="L16" i="7"/>
  <c r="H17" i="7"/>
  <c r="J17" i="7"/>
  <c r="L17" i="7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K17" i="12" s="1"/>
  <c r="M17" i="12" s="1"/>
  <c r="H21" i="12"/>
  <c r="H25" i="12"/>
  <c r="K25" i="12" s="1"/>
  <c r="H29" i="12"/>
  <c r="H33" i="12"/>
  <c r="K33" i="12" s="1"/>
  <c r="M33" i="12" s="1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K18" i="12" s="1"/>
  <c r="H22" i="12"/>
  <c r="K22" i="12" s="1"/>
  <c r="M22" i="12" s="1"/>
  <c r="H26" i="12"/>
  <c r="K26" i="12" s="1"/>
  <c r="H30" i="12"/>
  <c r="H4" i="12"/>
  <c r="K4" i="12" s="1"/>
  <c r="L16" i="12"/>
  <c r="I16" i="12"/>
  <c r="K16" i="12" s="1"/>
  <c r="H8" i="12"/>
  <c r="I8" i="12"/>
  <c r="L8" i="12"/>
  <c r="I110" i="4"/>
  <c r="J110" i="4"/>
  <c r="L107" i="7" s="1"/>
  <c r="I111" i="4"/>
  <c r="J111" i="4"/>
  <c r="J109" i="4"/>
  <c r="L106" i="7" s="1"/>
  <c r="I109" i="4"/>
  <c r="F24" i="5"/>
  <c r="K30" i="12" l="1"/>
  <c r="M30" i="12" s="1"/>
  <c r="M4" i="12"/>
  <c r="K12" i="12"/>
  <c r="M12" i="12" s="1"/>
  <c r="M26" i="12"/>
  <c r="K29" i="12"/>
  <c r="M29" i="12" s="1"/>
  <c r="M7" i="12"/>
  <c r="L41" i="12"/>
  <c r="M25" i="12"/>
  <c r="I41" i="12"/>
  <c r="M18" i="12"/>
  <c r="K21" i="12"/>
  <c r="M21" i="12" s="1"/>
  <c r="G45" i="12"/>
  <c r="K20" i="12"/>
  <c r="M20" i="12" s="1"/>
  <c r="K27" i="12"/>
  <c r="M27" i="12" s="1"/>
  <c r="K9" i="12"/>
  <c r="M9" i="12" s="1"/>
  <c r="M16" i="12"/>
  <c r="K11" i="12"/>
  <c r="M11" i="12" s="1"/>
  <c r="K32" i="12"/>
  <c r="M32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H41" i="12"/>
  <c r="F18" i="5"/>
  <c r="K41" i="12" l="1"/>
  <c r="M8" i="12"/>
  <c r="M41" i="12" s="1"/>
  <c r="L44" i="12" s="1"/>
  <c r="E12" i="5"/>
  <c r="J10" i="4" s="1"/>
  <c r="I9" i="7" s="1"/>
  <c r="N102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F27" i="5" s="1"/>
  <c r="L78" i="4"/>
  <c r="F23" i="5"/>
  <c r="F30" i="5" l="1"/>
  <c r="F33" i="5" s="1"/>
  <c r="F35" i="5" s="1"/>
  <c r="L105" i="4"/>
  <c r="G27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Mazuera Ayala</author>
    <author>Natalia A. Munoz R.</author>
  </authors>
  <commentList>
    <comment ref="G14" authorId="0" shapeId="0" xr:uid="{DAC7FC9C-3CF8-42A6-8110-804BBBD9AF91}">
      <text>
        <r>
          <rPr>
            <b/>
            <sz val="12"/>
            <color indexed="81"/>
            <rFont val="Tahoma"/>
            <family val="2"/>
          </rPr>
          <t>NATALIA ANDREA MUÑOZ RESTREPO:</t>
        </r>
        <r>
          <rPr>
            <sz val="12"/>
            <color indexed="81"/>
            <rFont val="Tahoma"/>
            <family val="2"/>
          </rPr>
          <t xml:space="preserve">
1. 1 instructor de Rugby $ 871,556 MENSUALES
2. 1 instructor de Baloncesto $871,557 MENSUALES
3. 1 instructor de gimnasio $1'346.934 MENSUALES. 
4. 1 instructor de gimnasio y de natación $1´822,350 MENSUALES
5. fútbol de salón M y F y fútbol femenino $1´901.585 MENSUALES  
6. 1 instructor de fútbol de campo $1.427,793 MENSUALES 
7. 1 instructor de voleibol $ 871,557 MENSUALES
8. 1 instructor club de la salud y apoyo a la actividades de bienestar $1.100,000 MENSULES
9. Entrenador Tenis de Mesa $ 871,557 MENSUALES 
10. Entrenador Porrismo $871,557 MENSUALES
Más incremento del IPC año 2020
</t>
        </r>
      </text>
    </comment>
    <comment ref="G15" authorId="1" shapeId="0" xr:uid="{31D7D367-D489-43FD-B152-20E5EBACEFD2}">
      <text>
        <r>
          <rPr>
            <b/>
            <sz val="9"/>
            <color indexed="81"/>
            <rFont val="Tahoma"/>
            <family val="2"/>
          </rPr>
          <t>Natalia A. Munoz R.:</t>
        </r>
        <r>
          <rPr>
            <sz val="9"/>
            <color indexed="81"/>
            <rFont val="Tahoma"/>
            <family val="2"/>
          </rPr>
          <t xml:space="preserve">
Ees importante especialmente para las reuniones citadas por ASCUN DEPORTES en otras ciudades del país.</t>
        </r>
      </text>
    </comment>
  </commentList>
</comments>
</file>

<file path=xl/sharedStrings.xml><?xml version="1.0" encoding="utf-8"?>
<sst xmlns="http://schemas.openxmlformats.org/spreadsheetml/2006/main" count="2593" uniqueCount="1095">
  <si>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</si>
  <si>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</si>
  <si>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</si>
  <si>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</si>
  <si>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</si>
  <si>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</si>
  <si>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</si>
  <si>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</si>
  <si>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</si>
  <si>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</si>
  <si>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</si>
  <si>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</si>
  <si>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</si>
  <si>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</si>
  <si>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</si>
  <si>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</si>
  <si>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</si>
  <si>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</si>
  <si>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</si>
  <si>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</si>
  <si>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</si>
  <si>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</si>
  <si>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</si>
  <si>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</si>
  <si>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</si>
  <si>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</si>
  <si>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</si>
  <si>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</si>
  <si>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</si>
  <si>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</si>
  <si>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</si>
  <si>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</si>
  <si>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</si>
  <si>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</si>
  <si>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</si>
  <si>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</si>
  <si>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</si>
  <si>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</si>
  <si>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</si>
  <si>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</si>
  <si>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</si>
  <si>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</si>
  <si>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</si>
  <si>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</si>
  <si>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</si>
  <si>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</si>
  <si>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</si>
  <si>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</si>
  <si>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</si>
  <si>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</si>
  <si>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</si>
  <si>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</si>
  <si>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</si>
  <si>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</si>
  <si>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</si>
  <si>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</si>
  <si>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</si>
  <si>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</si>
  <si>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</si>
  <si>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</si>
  <si>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</si>
  <si>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</si>
  <si>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</si>
  <si>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</si>
  <si>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</si>
  <si>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</si>
  <si>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</si>
  <si>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</si>
  <si>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</si>
  <si>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</si>
  <si>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</si>
  <si>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</si>
  <si>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</si>
  <si>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</si>
  <si>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</si>
  <si>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</si>
  <si>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</si>
  <si>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</si>
  <si>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</si>
  <si>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</si>
  <si>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</si>
  <si>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</si>
  <si>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</si>
  <si>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</si>
  <si>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</si>
  <si>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</si>
  <si>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</si>
  <si>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</si>
  <si>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</si>
  <si>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</si>
  <si>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</si>
  <si>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</si>
  <si>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</si>
  <si>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</si>
  <si>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</si>
  <si>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</si>
  <si>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</si>
  <si>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</si>
  <si>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</si>
  <si>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</si>
  <si>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</si>
  <si>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</si>
  <si>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</si>
  <si>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</si>
  <si>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</si>
  <si>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</si>
  <si>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</si>
  <si>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</si>
  <si>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</si>
  <si>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</si>
  <si>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</si>
  <si>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</si>
  <si>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</si>
  <si>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</si>
  <si>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</si>
  <si>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</si>
  <si>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</si>
  <si>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</si>
  <si>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</si>
  <si>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</si>
  <si>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</si>
  <si>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</si>
  <si>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</si>
  <si>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</si>
  <si>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</si>
  <si>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</si>
  <si>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</si>
  <si>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</si>
  <si>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</si>
  <si>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</si>
  <si>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</si>
  <si>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</si>
  <si>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</si>
  <si>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</si>
  <si>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</si>
  <si>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</si>
  <si>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</si>
  <si>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</si>
  <si>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</si>
  <si>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</si>
  <si>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</si>
  <si>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</si>
  <si>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</si>
  <si>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</si>
  <si>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</si>
  <si>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</si>
  <si>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</si>
  <si>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</si>
  <si>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</si>
  <si>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</si>
  <si>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</si>
  <si>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</si>
  <si>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</si>
  <si>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</si>
  <si>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</si>
  <si>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</si>
  <si>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</si>
  <si>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</si>
  <si>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</si>
  <si>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</si>
  <si>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</si>
  <si>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</si>
  <si>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</si>
  <si>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</si>
  <si>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</si>
  <si>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</si>
  <si>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</si>
  <si>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</si>
  <si>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</si>
  <si>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</si>
  <si>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</si>
  <si>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</si>
  <si>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</si>
  <si>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</si>
  <si>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</si>
  <si>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</si>
  <si>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</si>
  <si>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</si>
  <si>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</si>
  <si>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</si>
  <si>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</si>
  <si>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</si>
  <si>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</si>
  <si>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</si>
  <si>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</si>
  <si>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</si>
  <si>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</si>
  <si>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</si>
  <si>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</si>
  <si>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</si>
  <si>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</si>
  <si>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</si>
  <si>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</si>
  <si>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</si>
  <si>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</si>
  <si>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</si>
  <si>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</si>
  <si>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</si>
  <si>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</si>
  <si>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</si>
  <si>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</si>
  <si>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</si>
  <si>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</si>
  <si>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</si>
  <si>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</si>
  <si>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</si>
  <si>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</si>
  <si>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</si>
  <si>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</si>
  <si>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</si>
  <si>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</si>
  <si>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</si>
  <si>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</si>
  <si>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</si>
  <si>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</si>
  <si>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</si>
  <si>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</si>
  <si>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</si>
  <si>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</si>
  <si>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</si>
  <si>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</si>
  <si>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</si>
  <si>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</si>
  <si>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</si>
  <si>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</si>
  <si>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</si>
  <si>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</si>
  <si>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</si>
  <si>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</si>
  <si>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</si>
  <si>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</si>
  <si>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</si>
  <si>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</si>
  <si>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</si>
  <si>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</si>
  <si>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</si>
  <si>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</si>
  <si>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</si>
  <si>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</si>
  <si>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</si>
  <si>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</si>
  <si>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</si>
  <si>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</si>
  <si>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</si>
  <si>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</si>
  <si>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</si>
  <si>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</si>
  <si>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</si>
  <si>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</si>
  <si>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</si>
  <si>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</si>
  <si>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</si>
  <si>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</si>
  <si>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</si>
  <si>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</si>
  <si>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</si>
  <si>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</si>
  <si>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</si>
  <si>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</si>
  <si>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</si>
  <si>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</si>
  <si>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</si>
  <si>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</si>
  <si>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</si>
  <si>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</si>
  <si>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</si>
  <si>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</si>
  <si>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</si>
  <si>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</si>
  <si>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</si>
  <si>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</si>
  <si>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</si>
  <si>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</si>
  <si>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</si>
  <si>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</si>
  <si>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</si>
  <si>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</si>
  <si>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</si>
  <si>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</si>
  <si>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</si>
  <si>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</si>
  <si>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</si>
  <si>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</si>
  <si>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</si>
  <si>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</si>
  <si>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</si>
  <si>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</si>
  <si>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</si>
  <si>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</si>
  <si>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</si>
  <si>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</si>
  <si>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</si>
  <si>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</si>
  <si>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</si>
  <si>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</si>
  <si>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</si>
  <si>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</si>
  <si>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</si>
  <si>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</si>
  <si>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</si>
  <si>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</si>
  <si>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</si>
  <si>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</si>
  <si>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</si>
  <si>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</si>
  <si>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</si>
  <si>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</si>
  <si>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</si>
  <si>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</si>
  <si>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</si>
  <si>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</si>
  <si>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</si>
  <si>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</si>
  <si>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</si>
  <si>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</si>
  <si>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</si>
  <si>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</si>
  <si>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</si>
  <si>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</si>
  <si>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</si>
  <si>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</si>
  <si>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</si>
  <si>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</si>
  <si>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</si>
  <si>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</si>
  <si>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</si>
  <si>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</si>
  <si>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</si>
  <si>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</si>
  <si>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</si>
  <si>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</si>
  <si>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</si>
  <si>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</si>
  <si>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</si>
  <si>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</si>
  <si>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</si>
  <si>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</si>
  <si>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</si>
  <si>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</si>
  <si>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</si>
  <si>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</si>
  <si>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</si>
  <si>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</si>
  <si>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</si>
  <si>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</si>
  <si>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</si>
  <si>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</si>
  <si>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</si>
  <si>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</si>
  <si>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</si>
  <si>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</si>
  <si>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</si>
  <si>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</si>
  <si>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</si>
  <si>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</si>
  <si>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</si>
  <si>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</si>
  <si>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</si>
  <si>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</si>
  <si>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</si>
  <si>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</si>
  <si>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</si>
  <si>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</si>
  <si>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</si>
  <si>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</si>
  <si>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</si>
  <si>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</si>
  <si>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</si>
  <si>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</si>
  <si>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</si>
  <si>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</si>
  <si>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</si>
  <si>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</si>
  <si>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</si>
  <si>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</si>
  <si>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</si>
  <si>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</si>
  <si>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</si>
  <si>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</si>
  <si>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</si>
  <si>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</si>
  <si>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</si>
  <si>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</si>
  <si>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</si>
  <si>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</si>
  <si>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</si>
  <si>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</si>
  <si>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</si>
  <si>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</si>
  <si>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</si>
  <si>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</si>
  <si>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</si>
  <si>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</si>
  <si>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</si>
  <si>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</si>
  <si>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</si>
  <si>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</si>
  <si>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</si>
  <si>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</si>
  <si>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</si>
  <si>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</si>
  <si>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</si>
  <si>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</si>
  <si>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</si>
  <si>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</si>
  <si>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</si>
  <si>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</si>
  <si>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</si>
  <si>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</si>
  <si>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</si>
  <si>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</si>
  <si>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</si>
  <si>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</si>
  <si>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</si>
  <si>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</si>
  <si>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</si>
  <si>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</si>
  <si>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</si>
  <si>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</si>
  <si>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</si>
  <si>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</si>
  <si>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</si>
  <si>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</si>
  <si>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</si>
  <si>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</si>
  <si>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</si>
  <si>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</si>
  <si>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</si>
  <si>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</si>
  <si>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</si>
  <si>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</si>
  <si>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</si>
  <si>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</si>
  <si>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</si>
  <si>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</si>
  <si>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</si>
  <si>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</si>
  <si>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</si>
  <si>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</si>
  <si>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</si>
  <si>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</si>
  <si>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</si>
  <si>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</si>
  <si>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</si>
  <si>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</si>
  <si>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</si>
  <si>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</si>
  <si>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</si>
  <si>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</si>
  <si>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</si>
  <si>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</si>
  <si>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</si>
  <si>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</si>
  <si>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</si>
  <si>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</si>
  <si>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</si>
  <si>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</si>
  <si>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</si>
  <si>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</si>
  <si>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</si>
  <si>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</si>
  <si>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</si>
  <si>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</si>
  <si>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</si>
  <si>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</si>
  <si>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</si>
  <si>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</si>
  <si>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</si>
  <si>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</si>
  <si>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</si>
  <si>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</si>
  <si>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</si>
  <si>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</si>
  <si>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</si>
  <si>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</si>
  <si>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</si>
  <si>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</si>
  <si>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</si>
  <si>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</si>
  <si>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</si>
  <si>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</si>
  <si>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</si>
  <si>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</si>
  <si>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</si>
  <si>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</si>
  <si>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</si>
  <si>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</si>
  <si>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</si>
  <si>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</si>
  <si>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</si>
  <si>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</si>
  <si>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</si>
  <si>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</si>
  <si>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</si>
  <si>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</si>
  <si>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</si>
  <si>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</si>
  <si>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</si>
  <si>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</si>
  <si>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</si>
  <si>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</si>
  <si>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</si>
  <si>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</si>
  <si>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</si>
  <si>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</si>
  <si>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</si>
  <si>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</si>
  <si>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</si>
  <si>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</si>
  <si>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</si>
  <si>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</si>
  <si>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</si>
  <si>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</si>
  <si>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</si>
  <si>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</si>
  <si>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</si>
  <si>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</si>
  <si>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</si>
  <si>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</si>
  <si>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</si>
  <si>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</si>
  <si>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</si>
  <si>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</si>
  <si>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</si>
  <si>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</si>
  <si>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</si>
  <si>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</si>
  <si>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</si>
  <si>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</si>
  <si>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</si>
  <si>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</si>
  <si>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</si>
  <si>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</si>
  <si>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</si>
  <si>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</si>
  <si>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</si>
  <si>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</si>
  <si>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</si>
  <si>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</si>
  <si>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</si>
  <si>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</si>
  <si>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</si>
  <si>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</si>
  <si>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</si>
  <si>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</si>
  <si>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</si>
  <si>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</si>
  <si>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</si>
  <si>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</si>
  <si>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</si>
  <si>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</si>
  <si>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</si>
  <si>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</si>
  <si>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</si>
  <si>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</si>
  <si>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</si>
  <si>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</si>
  <si>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</si>
  <si>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</si>
  <si>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</si>
  <si>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</si>
  <si>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</si>
  <si>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</si>
  <si>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</si>
  <si>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</si>
  <si>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</si>
  <si>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</si>
  <si>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</si>
  <si>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</si>
  <si>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</si>
  <si>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</si>
  <si>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</si>
  <si>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</si>
  <si>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</si>
  <si>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</si>
  <si>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</si>
  <si>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</si>
  <si>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</si>
  <si>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</si>
  <si>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</si>
  <si>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</si>
  <si>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</si>
  <si>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</si>
  <si>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</si>
  <si>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</si>
  <si>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</si>
  <si>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</si>
  <si>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</si>
  <si>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</si>
  <si>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</si>
  <si>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</si>
  <si>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</si>
  <si>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</si>
  <si>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</si>
  <si>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</si>
  <si>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</si>
  <si>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</si>
  <si>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</si>
  <si>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</si>
  <si>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</si>
  <si>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</si>
  <si>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</si>
  <si>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</si>
  <si>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</si>
  <si>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</si>
  <si>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</si>
  <si>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</si>
  <si>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</si>
  <si>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</si>
  <si>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</si>
  <si>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</si>
  <si>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</si>
  <si>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</si>
  <si>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</si>
  <si>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</si>
  <si>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</si>
  <si>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</si>
  <si>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</si>
  <si>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</si>
  <si>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</si>
  <si>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</si>
  <si>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</si>
  <si>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</si>
  <si>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</si>
  <si>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</si>
  <si>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</si>
  <si>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</si>
  <si>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</si>
  <si>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</si>
  <si>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</si>
  <si>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</si>
  <si>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</si>
  <si>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</si>
  <si>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</si>
  <si>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</si>
  <si>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</si>
  <si>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</si>
  <si>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</si>
  <si>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</si>
  <si>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</si>
  <si>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</si>
  <si>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</si>
  <si>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</si>
  <si>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</si>
  <si>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</si>
  <si>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</si>
  <si>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</si>
  <si>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</si>
  <si>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</si>
  <si>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</si>
  <si>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</si>
  <si>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</si>
  <si>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</si>
  <si>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</si>
  <si>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</si>
  <si>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</si>
  <si>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</si>
  <si>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</si>
  <si>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</si>
  <si>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</si>
  <si>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</si>
  <si>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</si>
  <si>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</si>
  <si>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</si>
  <si>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</si>
  <si>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</si>
  <si>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</si>
  <si>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</si>
  <si>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</si>
  <si>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</si>
  <si>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</si>
  <si>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</si>
  <si>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</si>
  <si>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</si>
  <si>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</si>
  <si>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</si>
  <si>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</si>
  <si>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</si>
  <si>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</si>
  <si>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</si>
  <si>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</si>
  <si>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</si>
  <si>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</si>
  <si>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</si>
  <si>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</si>
  <si>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</si>
  <si>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</si>
  <si>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</si>
  <si>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</si>
  <si>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</si>
  <si>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</si>
  <si>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</si>
  <si>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</si>
  <si>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</si>
  <si>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</si>
  <si>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</si>
  <si>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</si>
  <si>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</si>
  <si>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</si>
  <si>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</si>
  <si>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</si>
  <si>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</si>
  <si>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</si>
  <si>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</si>
  <si>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</si>
  <si>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</si>
  <si>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</si>
  <si>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</si>
  <si>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</si>
  <si>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</si>
  <si>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</si>
  <si>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</si>
  <si>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</si>
  <si>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</si>
  <si>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</si>
  <si>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</si>
  <si>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</si>
  <si>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</si>
  <si>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</si>
  <si>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</si>
  <si>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</si>
  <si>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</si>
  <si>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</si>
  <si>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</si>
  <si>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</si>
  <si>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</si>
  <si>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</si>
  <si>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</si>
  <si>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</si>
  <si>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</si>
  <si>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</si>
  <si>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</si>
  <si>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</si>
  <si>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</si>
  <si>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</si>
  <si>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</si>
  <si>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</si>
  <si>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</si>
  <si>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</si>
  <si>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</si>
  <si>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</si>
  <si>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</si>
  <si>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</si>
  <si>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</si>
  <si>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</si>
  <si>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</si>
  <si>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</si>
  <si>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</si>
  <si>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</si>
  <si>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</si>
  <si>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</si>
  <si>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</si>
  <si>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</si>
  <si>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</si>
  <si>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</si>
  <si>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</si>
  <si>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</si>
  <si>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</si>
  <si>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</si>
  <si>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</si>
  <si>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</si>
  <si>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</si>
  <si>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</si>
  <si>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</si>
  <si>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</si>
  <si>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</si>
  <si>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</si>
  <si>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</si>
  <si>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</si>
  <si>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</si>
  <si>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</si>
  <si>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</si>
  <si>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</si>
  <si>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</si>
  <si>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</si>
  <si>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</si>
  <si>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</si>
  <si>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</si>
  <si>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</si>
  <si>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</si>
  <si>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</si>
  <si>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</si>
  <si>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</si>
  <si>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</si>
  <si>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</si>
  <si>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</si>
  <si>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</si>
  <si>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</si>
  <si>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</si>
  <si>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</si>
  <si>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</si>
  <si>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</si>
  <si>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</si>
  <si>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</si>
  <si>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</si>
  <si>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</si>
  <si>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</si>
  <si>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</si>
  <si>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</si>
  <si>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</si>
  <si>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</si>
  <si>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</si>
  <si>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</si>
  <si>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</si>
  <si>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</si>
  <si>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</si>
  <si>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</si>
  <si>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</si>
  <si>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</si>
  <si>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</si>
  <si>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</si>
  <si>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</si>
  <si>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</si>
  <si>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</si>
  <si>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</si>
  <si>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</si>
  <si>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</si>
  <si>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</si>
  <si>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</si>
  <si>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</si>
  <si>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</si>
  <si>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</si>
  <si>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</si>
  <si>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</si>
  <si>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</si>
  <si>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</si>
  <si>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</si>
  <si>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</si>
  <si>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</si>
  <si>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</si>
  <si>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</si>
  <si>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</si>
  <si>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</si>
  <si>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</si>
  <si>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</si>
  <si>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</si>
  <si>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</si>
  <si>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</si>
  <si>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</si>
  <si>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</si>
  <si>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</si>
  <si>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</si>
  <si>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</si>
  <si>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</si>
  <si>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</si>
  <si>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</si>
  <si>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</si>
  <si>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</si>
  <si>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</si>
  <si>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</si>
  <si>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</si>
  <si>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</si>
  <si>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</si>
  <si>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</si>
  <si>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</si>
  <si>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</si>
  <si>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</si>
  <si>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</si>
  <si>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</si>
  <si>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</si>
  <si>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</si>
  <si>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</si>
  <si>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</si>
  <si>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</si>
  <si>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</si>
  <si>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</si>
  <si>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</si>
  <si>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</si>
  <si>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</si>
  <si>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</si>
  <si>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</si>
  <si>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</si>
  <si>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</si>
  <si>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</si>
  <si>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</si>
  <si>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</si>
  <si>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</si>
  <si>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</si>
  <si>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</si>
  <si>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</si>
  <si>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</si>
  <si>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</si>
  <si>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</si>
  <si>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</si>
  <si>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</si>
  <si>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</si>
  <si>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</si>
  <si>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</si>
  <si>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</si>
  <si>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</si>
  <si>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</si>
  <si>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</si>
  <si>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</si>
  <si>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</si>
  <si>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</si>
  <si>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</si>
  <si>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</si>
  <si>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</si>
  <si>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</si>
  <si>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</si>
  <si>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</si>
  <si>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</si>
  <si>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</si>
  <si>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</si>
  <si>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</si>
  <si>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</si>
  <si>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</si>
  <si>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</si>
  <si>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</si>
  <si>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</si>
  <si>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</si>
  <si>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</si>
  <si>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</si>
  <si>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</si>
  <si>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</si>
  <si>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</si>
  <si>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</si>
  <si>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</si>
  <si>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</si>
  <si>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</si>
  <si>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</si>
  <si>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</si>
  <si>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</si>
  <si>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</si>
  <si>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</si>
  <si>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</si>
  <si>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</si>
  <si>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</si>
  <si>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</si>
  <si>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</si>
  <si>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</si>
  <si>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</si>
  <si>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</si>
  <si>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</si>
  <si>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</si>
  <si>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</si>
  <si>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</si>
  <si>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</si>
  <si>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</si>
  <si>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</si>
  <si>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</si>
  <si>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</si>
  <si>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</si>
  <si>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</si>
  <si>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</si>
  <si>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</si>
  <si>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</si>
  <si>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</si>
  <si>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</si>
  <si>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</si>
  <si>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</si>
  <si>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</si>
  <si>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</si>
  <si>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</si>
  <si>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</si>
  <si>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</si>
  <si>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</si>
  <si>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</si>
  <si>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</si>
  <si>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</si>
  <si>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</si>
  <si>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</si>
  <si>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</si>
  <si>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</si>
  <si>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</si>
  <si>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</si>
  <si>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</si>
  <si>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</si>
  <si>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</si>
  <si>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</si>
  <si>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</si>
  <si>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</si>
  <si>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</si>
  <si>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</si>
  <si>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</si>
  <si>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</si>
  <si>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</si>
  <si>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</si>
  <si>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</si>
  <si>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</si>
  <si>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</si>
  <si>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</si>
  <si>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</si>
  <si>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</si>
  <si>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</si>
  <si>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</si>
  <si>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</si>
  <si>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</si>
  <si>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</si>
  <si>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</si>
  <si>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</si>
  <si>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</si>
  <si>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</si>
  <si>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</si>
  <si>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</si>
  <si>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</si>
  <si>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</si>
  <si>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</si>
  <si>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</si>
  <si>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</si>
  <si>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</si>
  <si>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</si>
  <si>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</si>
  <si>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</si>
  <si>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</si>
  <si>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</si>
  <si>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</si>
  <si>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</si>
  <si>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</si>
  <si>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</si>
  <si>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</si>
  <si>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</si>
  <si>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</si>
  <si>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</si>
  <si>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</si>
  <si>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</si>
  <si>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</si>
  <si>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</si>
  <si>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</si>
  <si>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</si>
  <si>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</si>
  <si>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</si>
  <si>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</si>
  <si>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</si>
  <si>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</si>
  <si>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</si>
  <si>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</si>
  <si>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</si>
  <si>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</si>
  <si>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</si>
  <si>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</si>
  <si>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</si>
  <si>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</si>
  <si>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</si>
  <si>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</si>
  <si>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</si>
  <si>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</si>
  <si>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</si>
  <si>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</si>
  <si>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</si>
  <si>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</si>
  <si>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</si>
  <si>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</si>
  <si>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</si>
  <si>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</si>
  <si>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</si>
  <si>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</si>
  <si>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</si>
  <si>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</si>
  <si>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</si>
  <si>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</si>
  <si>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</si>
  <si>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</si>
  <si>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</si>
  <si>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</si>
  <si>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</si>
  <si>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</si>
  <si>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</si>
  <si>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</si>
  <si>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</si>
  <si>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</si>
  <si>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</si>
  <si>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</si>
  <si>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</si>
  <si>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</si>
  <si>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Coordinar, dirigir y controlar el recurso humano de instructores del área compuesto por 12 profesionales,(Rugby, Baloncesto, 2 Gimnasio, Natación, Fútbol de salón, fútbol masculino, fútbol femenino, voleibol, Porrismo, Tenis de Mesa, club de la salud).</t>
  </si>
  <si>
    <t xml:space="preserve">Reuniones del área de Deporte y Recreación en el año:                                                                                                                    </t>
  </si>
  <si>
    <t>Capacitar al personal  de contrato civíl con el fin de renovar  y mejorar los servicios prestados a la institución:                                             Capacitadores (hospedaje, alimentación y transportes).
Seguimiento al proceso
Fotos de evidencia
Informe a la administración</t>
  </si>
  <si>
    <t xml:space="preserve"> 1. Realizar  pago anual a ASCUN
1. recibo de pago
2. acta de satisfacción de entrega 
3. hacer seguimiento a la cuenta de cobro   </t>
  </si>
  <si>
    <r>
      <t xml:space="preserve">2. Realizar la inscripción al torneo   Zonal de  </t>
    </r>
    <r>
      <rPr>
        <b/>
        <sz val="11"/>
        <rFont val="Calibri"/>
        <family val="2"/>
        <scheme val="minor"/>
      </rPr>
      <t>ASCUN</t>
    </r>
    <r>
      <rPr>
        <sz val="11"/>
        <rFont val="Calibri"/>
        <family val="2"/>
        <scheme val="minor"/>
      </rPr>
      <t xml:space="preserve"> Tenis de Mesa                                                             1. inscripción torneo Tenis de Mesa</t>
    </r>
    <r>
      <rPr>
        <b/>
        <sz val="11"/>
        <rFont val="Calibri"/>
        <family val="2"/>
        <scheme val="minor"/>
      </rPr>
      <t xml:space="preserve"> $600,000</t>
    </r>
    <r>
      <rPr>
        <sz val="11"/>
        <rFont val="Calibri"/>
        <family val="2"/>
        <scheme val="minor"/>
      </rPr>
      <t xml:space="preserve"> por el equipo
2. Solicitud de traslado al torneo zonal de Tenis de Mesa equipo y el entrenador   (transporte ida y regreso para</t>
    </r>
    <r>
      <rPr>
        <b/>
        <sz val="11"/>
        <rFont val="Calibri"/>
        <family val="2"/>
        <scheme val="minor"/>
      </rPr>
      <t xml:space="preserve"> 10 deportistas y 1 entrenador</t>
    </r>
    <r>
      <rPr>
        <sz val="11"/>
        <rFont val="Calibri"/>
        <family val="2"/>
        <scheme val="minor"/>
      </rPr>
      <t xml:space="preserve">  $240.000 por persona para un total de </t>
    </r>
    <r>
      <rPr>
        <b/>
        <sz val="11"/>
        <rFont val="Calibri"/>
        <family val="2"/>
        <scheme val="minor"/>
      </rPr>
      <t>2'640.000,</t>
    </r>
    <r>
      <rPr>
        <sz val="11"/>
        <rFont val="Calibri"/>
        <family val="2"/>
        <scheme val="minor"/>
      </rPr>
      <t xml:space="preserve"> alimentación para 10 deportistas y su entrenador por 4 días $10.000 desayuno por persona, $20.000 almuerzo por persona,                                                                                            3. Estadísticas de participación.
4. evidencias fotográficas
5. informe a la dirección </t>
    </r>
  </si>
  <si>
    <r>
      <t xml:space="preserve">3. </t>
    </r>
    <r>
      <rPr>
        <b/>
        <sz val="11"/>
        <rFont val="Calibri"/>
        <family val="2"/>
        <scheme val="minor"/>
      </rPr>
      <t xml:space="preserve">Realizar la inscripción al torneo  Zonal  de ASCUN Rugby masculino y femenino:      </t>
    </r>
    <r>
      <rPr>
        <sz val="11"/>
        <rFont val="Calibri"/>
        <family val="2"/>
        <scheme val="minor"/>
      </rPr>
      <t xml:space="preserve">                                                                                                            1. inscripción torneo Rugby por 2 equipo $</t>
    </r>
    <r>
      <rPr>
        <b/>
        <sz val="11"/>
        <rFont val="Calibri"/>
        <family val="2"/>
        <scheme val="minor"/>
      </rPr>
      <t>1´200,000 (</t>
    </r>
    <r>
      <rPr>
        <sz val="11"/>
        <rFont val="Calibri"/>
        <family val="2"/>
        <scheme val="minor"/>
      </rPr>
      <t xml:space="preserve">$ 600.000 por equipo)
2. Solicitud de traslado al torneo zonal de Rugby equipo masculino y femenino y el entrenador, </t>
    </r>
    <r>
      <rPr>
        <b/>
        <sz val="11"/>
        <rFont val="Calibri"/>
        <family val="2"/>
        <scheme val="minor"/>
      </rPr>
      <t>20 deportista y 1 entrenador</t>
    </r>
    <r>
      <rPr>
        <sz val="11"/>
        <rFont val="Calibri"/>
        <family val="2"/>
        <scheme val="minor"/>
      </rPr>
      <t xml:space="preserve">   (transporte ida y regreso </t>
    </r>
    <r>
      <rPr>
        <b/>
        <sz val="11"/>
        <rFont val="Calibri"/>
        <family val="2"/>
        <scheme val="minor"/>
      </rPr>
      <t>$5'040,000</t>
    </r>
    <r>
      <rPr>
        <sz val="11"/>
        <rFont val="Calibri"/>
        <family val="2"/>
        <scheme val="minor"/>
      </rPr>
      <t xml:space="preserve">, alimentación por 4  días </t>
    </r>
    <r>
      <rPr>
        <b/>
        <sz val="11"/>
        <rFont val="Calibri"/>
        <family val="2"/>
        <scheme val="minor"/>
      </rPr>
      <t>$2'268,000</t>
    </r>
    <r>
      <rPr>
        <sz val="1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
3. Estadísticas de participación.
4. evidencias fotográficas
5. informe a la dirección </t>
    </r>
  </si>
  <si>
    <r>
      <t xml:space="preserve">4. Participación en torneo Zonal de ASCUN baloncesto:                                                                                   1. inscripción torneo baloncesto masculino y femenino  $600,000 por equipo total $ </t>
    </r>
    <r>
      <rPr>
        <b/>
        <sz val="11"/>
        <color theme="1"/>
        <rFont val="Calibri"/>
        <family val="2"/>
        <scheme val="minor"/>
      </rPr>
      <t>1'200.000</t>
    </r>
    <r>
      <rPr>
        <sz val="11"/>
        <color theme="1"/>
        <rFont val="Calibri"/>
        <family val="2"/>
        <scheme val="minor"/>
      </rPr>
      <t xml:space="preserve">
2. Solicitud de traslado al torneo zonal de baloncesto 2 equipos y el entrenador, 17 deportistas y 1 entrenador   (transporte ida y regreso </t>
    </r>
    <r>
      <rPr>
        <b/>
        <sz val="11"/>
        <color theme="1"/>
        <rFont val="Calibri"/>
        <family val="2"/>
        <scheme val="minor"/>
      </rPr>
      <t>$4'080,000</t>
    </r>
    <r>
      <rPr>
        <sz val="11"/>
        <color theme="1"/>
        <rFont val="Calibri"/>
        <family val="2"/>
        <scheme val="minor"/>
      </rPr>
      <t xml:space="preserve">, alimentación por 4 días </t>
    </r>
    <r>
      <rPr>
        <b/>
        <sz val="11"/>
        <color theme="1"/>
        <rFont val="Calibri"/>
        <family val="2"/>
        <scheme val="minor"/>
      </rPr>
      <t>$1'836,000</t>
    </r>
    <r>
      <rPr>
        <sz val="11"/>
        <color theme="1"/>
        <rFont val="Calibri"/>
        <family val="2"/>
        <scheme val="minor"/>
      </rPr>
      <t xml:space="preserve"> 
3. Estadísticas de participación.
4. evidencias fotográficas
5. informe a la dirección                                        </t>
    </r>
  </si>
  <si>
    <r>
      <t xml:space="preserve">5. Participación en torneo zonal ASCUN de Voleibol piso masculino y femenino:     
1. inscripción torneo voleibol 2 equipos  $600,000 por equipo para un total de </t>
    </r>
    <r>
      <rPr>
        <b/>
        <sz val="11"/>
        <color theme="1"/>
        <rFont val="Calibri"/>
        <family val="2"/>
        <scheme val="minor"/>
      </rPr>
      <t>1´200.000</t>
    </r>
    <r>
      <rPr>
        <sz val="11"/>
        <color theme="1"/>
        <rFont val="Calibri"/>
        <family val="2"/>
        <scheme val="minor"/>
      </rPr>
      <t xml:space="preserve">
2. Solicitud de traslado al torneo zonal de voleibol 2 equipo y el entrenador, 12 deportistas 1 entrenador   (transporte ida y regreso </t>
    </r>
    <r>
      <rPr>
        <b/>
        <sz val="11"/>
        <color theme="1"/>
        <rFont val="Calibri"/>
        <family val="2"/>
        <scheme val="minor"/>
      </rPr>
      <t>3'120,000</t>
    </r>
    <r>
      <rPr>
        <sz val="11"/>
        <color theme="1"/>
        <rFont val="Calibri"/>
        <family val="2"/>
        <scheme val="minor"/>
      </rPr>
      <t xml:space="preserve">, alimentación por 4 días </t>
    </r>
    <r>
      <rPr>
        <b/>
        <sz val="11"/>
        <color theme="1"/>
        <rFont val="Calibri"/>
        <family val="2"/>
        <scheme val="minor"/>
      </rPr>
      <t>1'404,000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
3. Estadísticas de participación.
4. evidencias fotográficas
5. informe a la dirección </t>
    </r>
  </si>
  <si>
    <r>
      <t xml:space="preserve">Participación en torneo zonal ASCUN de Voleibol arena:     
1. inscripción torneo voleibol arena  2 duplas  $350,000 por dupla para un total de </t>
    </r>
    <r>
      <rPr>
        <b/>
        <sz val="11"/>
        <color theme="1"/>
        <rFont val="Calibri"/>
        <family val="2"/>
        <scheme val="minor"/>
      </rPr>
      <t>$700.000</t>
    </r>
    <r>
      <rPr>
        <sz val="11"/>
        <color theme="1"/>
        <rFont val="Calibri"/>
        <family val="2"/>
        <scheme val="minor"/>
      </rPr>
      <t xml:space="preserve">
2. Solicitud de traslado al torneo zonal de voleibol 1 equipo y el entrenador   (transporte ida y regreso </t>
    </r>
    <r>
      <rPr>
        <b/>
        <sz val="11"/>
        <color theme="1"/>
        <rFont val="Calibri"/>
        <family val="2"/>
        <scheme val="minor"/>
      </rPr>
      <t>$1'200,000</t>
    </r>
    <r>
      <rPr>
        <sz val="11"/>
        <color theme="1"/>
        <rFont val="Calibri"/>
        <family val="2"/>
        <scheme val="minor"/>
      </rPr>
      <t xml:space="preserve">, alimentación </t>
    </r>
    <r>
      <rPr>
        <b/>
        <sz val="11"/>
        <color theme="1"/>
        <rFont val="Calibri"/>
        <family val="2"/>
        <scheme val="minor"/>
      </rPr>
      <t>$540,000</t>
    </r>
    <r>
      <rPr>
        <sz val="11"/>
        <color theme="1"/>
        <rFont val="Calibri"/>
        <family val="2"/>
        <scheme val="minor"/>
      </rPr>
      <t xml:space="preserve"> y hospedaje por 4 noches </t>
    </r>
    <r>
      <rPr>
        <b/>
        <sz val="11"/>
        <color theme="1"/>
        <rFont val="Calibri"/>
        <family val="2"/>
        <scheme val="minor"/>
      </rPr>
      <t>$1'800,000</t>
    </r>
    <r>
      <rPr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 xml:space="preserve">
3. Estadísticas de participación.
4. evidencias fotográficas
5. informe a la dirección </t>
    </r>
  </si>
  <si>
    <r>
      <t xml:space="preserve">6. Participación torneo zonal Ascun fútbol sala masculino y femenino:                                                                                                1. inscripción torneo Fútbol sala por 2 equipos $600.000 por equipo, para un total de  </t>
    </r>
    <r>
      <rPr>
        <b/>
        <sz val="11"/>
        <color theme="1"/>
        <rFont val="Calibri"/>
        <family val="2"/>
        <scheme val="minor"/>
      </rPr>
      <t>$1´200,000</t>
    </r>
    <r>
      <rPr>
        <sz val="11"/>
        <color theme="1"/>
        <rFont val="Calibri"/>
        <family val="2"/>
        <scheme val="minor"/>
      </rPr>
      <t xml:space="preserve">
2. Solicitud de traslado al torneo zonal de Fútbol de salón equipo y el entrenador 18 deportistas y 1 entrenador (transporte ida y regreso </t>
    </r>
    <r>
      <rPr>
        <b/>
        <sz val="11"/>
        <color theme="1"/>
        <rFont val="Calibri"/>
        <family val="2"/>
        <scheme val="minor"/>
      </rPr>
      <t>$4´560,000</t>
    </r>
    <r>
      <rPr>
        <sz val="11"/>
        <color theme="1"/>
        <rFont val="Calibri"/>
        <family val="2"/>
        <scheme val="minor"/>
      </rPr>
      <t xml:space="preserve">, alimentación </t>
    </r>
    <r>
      <rPr>
        <b/>
        <sz val="11"/>
        <color theme="1"/>
        <rFont val="Calibri"/>
        <family val="2"/>
        <scheme val="minor"/>
      </rPr>
      <t>$2'052,000</t>
    </r>
    <r>
      <rPr>
        <sz val="11"/>
        <color theme="1"/>
        <rFont val="Calibri"/>
        <family val="2"/>
        <scheme val="minor"/>
      </rPr>
      <t xml:space="preserve"> y hospedaje por 4 noches </t>
    </r>
    <r>
      <rPr>
        <b/>
        <sz val="11"/>
        <color theme="1"/>
        <rFont val="Calibri"/>
        <family val="2"/>
        <scheme val="minor"/>
      </rPr>
      <t>$6'840,000</t>
    </r>
    <r>
      <rPr>
        <sz val="11"/>
        <color theme="1"/>
        <rFont val="Calibri"/>
        <family val="2"/>
        <scheme val="minor"/>
      </rPr>
      <t xml:space="preserve">) 
3. Estadísticas de participación.
4. evidencias fotográficas
5. informe a la dirección </t>
    </r>
  </si>
  <si>
    <r>
      <t xml:space="preserve">7. Participación torneo zonal Ascun Natación                                                  1. inscripción torneo Natación  </t>
    </r>
    <r>
      <rPr>
        <b/>
        <sz val="11"/>
        <color theme="1"/>
        <rFont val="Calibri"/>
        <family val="2"/>
        <scheme val="minor"/>
      </rPr>
      <t>$600,000</t>
    </r>
    <r>
      <rPr>
        <sz val="11"/>
        <color theme="1"/>
        <rFont val="Calibri"/>
        <family val="2"/>
        <scheme val="minor"/>
      </rPr>
      <t xml:space="preserve"> por equipo
2. Solicitud de traslado al torneo zonal de Natación, equipo y el entrenador 12 deportistas y 1 entrenador   (transporte ida y regreso </t>
    </r>
    <r>
      <rPr>
        <b/>
        <sz val="11"/>
        <color theme="1"/>
        <rFont val="Calibri"/>
        <family val="2"/>
        <scheme val="minor"/>
      </rPr>
      <t>$3'120,000</t>
    </r>
    <r>
      <rPr>
        <sz val="11"/>
        <color theme="1"/>
        <rFont val="Calibri"/>
        <family val="2"/>
        <scheme val="minor"/>
      </rPr>
      <t>, alimentación</t>
    </r>
    <r>
      <rPr>
        <b/>
        <sz val="11"/>
        <color theme="1"/>
        <rFont val="Calibri"/>
        <family val="2"/>
        <scheme val="minor"/>
      </rPr>
      <t xml:space="preserve"> $1'404,000</t>
    </r>
    <r>
      <rPr>
        <sz val="11"/>
        <color theme="1"/>
        <rFont val="Calibri"/>
        <family val="2"/>
        <scheme val="minor"/>
      </rPr>
      <t xml:space="preserve"> y hospedaje por 4 noches </t>
    </r>
    <r>
      <rPr>
        <b/>
        <sz val="11"/>
        <color theme="1"/>
        <rFont val="Calibri"/>
        <family val="2"/>
        <scheme val="minor"/>
      </rPr>
      <t>$4'680,000</t>
    </r>
    <r>
      <rPr>
        <sz val="11"/>
        <color theme="1"/>
        <rFont val="Calibri"/>
        <family val="2"/>
        <scheme val="minor"/>
      </rPr>
      <t xml:space="preserve">) </t>
    </r>
    <r>
      <rPr>
        <sz val="11"/>
        <color theme="1"/>
        <rFont val="Calibri"/>
        <family val="2"/>
        <scheme val="minor"/>
      </rPr>
      <t xml:space="preserve">
3. Estadísticas de participación.
4. evidencias fotográficas
5. informe a la dirección </t>
    </r>
  </si>
  <si>
    <r>
      <t xml:space="preserve"> 8. Participación torneo zonal ASCUN fútbol masculino y femenino:                                               1. inscripción torneo Fútbol por  2 equipos $650.000 por equipo para un total de </t>
    </r>
    <r>
      <rPr>
        <b/>
        <sz val="11"/>
        <color theme="1"/>
        <rFont val="Calibri"/>
        <family val="2"/>
        <scheme val="minor"/>
      </rPr>
      <t>$1´300.000</t>
    </r>
    <r>
      <rPr>
        <sz val="11"/>
        <color theme="1"/>
        <rFont val="Calibri"/>
        <family val="2"/>
        <scheme val="minor"/>
      </rPr>
      <t xml:space="preserve">
2. Solicitud de traslado al torneo zonal de Fútbol masculino y femenino  y el entrenador 22 deportista y 1 entrenador   (transporte ida y regreso </t>
    </r>
    <r>
      <rPr>
        <b/>
        <sz val="11"/>
        <color theme="1"/>
        <rFont val="Calibri"/>
        <family val="2"/>
        <scheme val="minor"/>
      </rPr>
      <t>$5'520,000</t>
    </r>
    <r>
      <rPr>
        <sz val="11"/>
        <color theme="1"/>
        <rFont val="Calibri"/>
        <family val="2"/>
        <scheme val="minor"/>
      </rPr>
      <t xml:space="preserve">, alimentación </t>
    </r>
    <r>
      <rPr>
        <b/>
        <sz val="11"/>
        <color theme="1"/>
        <rFont val="Calibri"/>
        <family val="2"/>
        <scheme val="minor"/>
      </rPr>
      <t>$2'484,000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
3. Estadísticas de participación.
4. evidencias fotográficas
5. informe a la dirección </t>
    </r>
  </si>
  <si>
    <t>9. Apoyo a los deportistas destacados en los torneos solicitados por ellos mismos (inscripción, transporte ida y regreso, alimentación y hospedaje), torneos como: ASCUN DEPORTES, torneos locales, de liga o nacionales Las disciplinas más solicitadas son:                                                                                                                              Tenis de campo (estudiantes, docentes)                                                                     Tiro con arco (estudiantes)                                                                                        Artes marciales (estudiantes)                                                                         Baloncesto (docentes)</t>
  </si>
  <si>
    <t>10. Participación en el Nacional de ASCUN de acuerdo a los resultados de las diferentes disciplinas deportivas.                                                                  1. evidencia fotográfica y  física que demuestre que pasaron a segunda etapa.</t>
  </si>
  <si>
    <t>12. Realizar un reconocimiento a los deportistas                                            1. reconocimiento como incentivo a la participación en los diferentes torneos y premiar el esfuerzo, dedicación y empeño por competir por la Universidad.</t>
  </si>
  <si>
    <r>
      <t xml:space="preserve">13.  Participación otros torneos en Fútbol, Fútbol  sala, Baloncesto, Voleibol, Natación, Rugby, Porrismo, Tenis de Mesa realizados a nivel municipal, departamental.                                                                                            1. inscripción torneos Deportivos </t>
    </r>
    <r>
      <rPr>
        <b/>
        <sz val="11"/>
        <color theme="1"/>
        <rFont val="Calibri"/>
        <family val="2"/>
        <scheme val="minor"/>
      </rPr>
      <t xml:space="preserve"> $8´000,000</t>
    </r>
    <r>
      <rPr>
        <sz val="11"/>
        <color theme="1"/>
        <rFont val="Calibri"/>
        <family val="2"/>
        <scheme val="minor"/>
      </rPr>
      <t xml:space="preserve">
2. Solicitud de traslado a diferentes torneos deportivos equipo y el entrenador   (transporte, alimentación y hospedaje)
3. Estadísticas de participación.
4. evidencias fotográficas
5. informe a la dirección </t>
    </r>
  </si>
  <si>
    <r>
      <t xml:space="preserve">14. Realizar dos torneos inter roscas para todas las disciplinas de la universidad (uno por semestre)                                                                                   1. planeación   del campeonato interroscas por semestre 
2. información, comunicación y publicidad del campeonato a través de página web, afiches y volantes. 
3.  dos congresillos técnicos del campeonato para información de la metodología y horarios.                                                                                         4. premiación para los ganadores </t>
    </r>
    <r>
      <rPr>
        <b/>
        <sz val="11"/>
        <color theme="1"/>
        <rFont val="Calibri"/>
        <family val="2"/>
        <scheme val="minor"/>
      </rPr>
      <t>(3´000.000)</t>
    </r>
    <r>
      <rPr>
        <sz val="11"/>
        <color theme="1"/>
        <rFont val="Calibri"/>
        <family val="2"/>
        <scheme val="minor"/>
      </rPr>
      <t xml:space="preserve">                                                  5. hidratación  para los competidores </t>
    </r>
    <r>
      <rPr>
        <b/>
        <sz val="11"/>
        <color theme="1"/>
        <rFont val="Calibri"/>
        <family val="2"/>
        <scheme val="minor"/>
      </rPr>
      <t>($1´000.000</t>
    </r>
    <r>
      <rPr>
        <sz val="11"/>
        <color theme="1"/>
        <rFont val="Calibri"/>
        <family val="2"/>
        <scheme val="minor"/>
      </rPr>
      <t>)</t>
    </r>
  </si>
  <si>
    <r>
      <t xml:space="preserve">16. Realizar dos campañas de salud  física al año una por semestre  en las dos sedes de la Universidad Libre seccional Pereira.                               </t>
    </r>
    <r>
      <rPr>
        <b/>
        <sz val="11"/>
        <color theme="1"/>
        <rFont val="Calibri"/>
        <family val="2"/>
        <scheme val="minor"/>
      </rPr>
      <t xml:space="preserve">Campaña contra el tabaquismo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</t>
    </r>
    <r>
      <rPr>
        <b/>
        <sz val="11"/>
        <color theme="1"/>
        <rFont val="Calibri"/>
        <family val="2"/>
        <scheme val="minor"/>
      </rPr>
      <t>campaña contra la obesidad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campaña inicia tu rutina de ejercicios.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</t>
    </r>
    <r>
      <rPr>
        <b/>
        <sz val="11"/>
        <color theme="1"/>
        <rFont val="Calibri"/>
        <family val="2"/>
        <scheme val="minor"/>
      </rPr>
      <t>campaña hábitos y estilos de vida saludable</t>
    </r>
  </si>
  <si>
    <t>17. fortalecer  el club de la salud (comunidad universitaria) realizar el trámite administrativo correspondiente, inscripciones, micro charlas informativas y publicidad requerida (natación terapéutica, apoyos a las diferentes actividades realizadas por las facultades la  universidad en el ámbito deportivo , sesiones de Pilates, clases personalizadas de gimnasio ,atención deportiva en las oficinas, recomendaciones saludables, clases grupales musicalizadas.</t>
  </si>
  <si>
    <r>
      <t>18</t>
    </r>
    <r>
      <rPr>
        <b/>
        <sz val="11"/>
        <color theme="1"/>
        <rFont val="Calibri"/>
        <family val="2"/>
        <scheme val="minor"/>
      </rPr>
      <t xml:space="preserve">. Gestión de convenios: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1. secretaria de Deporte y Recreación de Pereira (convenio por contraprestación de servicios).
2. Liga Risaraldense de Natación 
3. convenio con gimnasio cerca a la sede centro de la Universidad Libre            4. convenio piscinas olímpicas comfamiliar Risaralda para entrenamiento equipo natación competencia.                                                                                                                       
+ Solicitud de convenios a personal 
+ firma de convenio 
+ establecimiento de horarios
+ realización de publicidad y publicación en página, afiches y  información voz a voz </t>
    </r>
  </si>
  <si>
    <t xml:space="preserve">19. Solicitar los uniformes para administrativos y entrenadores  de las diferentes disciplinas deportivas : realiza de acuerdo a las necesidades presentadas </t>
  </si>
  <si>
    <r>
      <t xml:space="preserve">21. Mantenimiento de todas las maquinas del gimnasio un (1) mantenimiento por semestre el valor de cada mantenimiento es de </t>
    </r>
    <r>
      <rPr>
        <b/>
        <sz val="11"/>
        <color theme="1"/>
        <rFont val="Calibri"/>
        <family val="2"/>
        <scheme val="minor"/>
      </rPr>
      <t>$1'200,000</t>
    </r>
    <r>
      <rPr>
        <sz val="11"/>
        <color theme="1"/>
        <rFont val="Calibri"/>
        <family val="2"/>
        <scheme val="minor"/>
      </rPr>
      <t xml:space="preserve"> para un total de dos (2) en el año con un valor de</t>
    </r>
    <r>
      <rPr>
        <b/>
        <sz val="11"/>
        <color theme="1"/>
        <rFont val="Calibri"/>
        <family val="2"/>
        <scheme val="minor"/>
      </rPr>
      <t xml:space="preserve"> $2'400,000  </t>
    </r>
    <r>
      <rPr>
        <sz val="11"/>
        <color theme="1"/>
        <rFont val="Calibri"/>
        <family val="2"/>
        <scheme val="minor"/>
      </rPr>
      <t xml:space="preserve">                                 mantenimiento del filtro dispensador de agua del gimnasio uno (1) por semestre cada uno por un valor de</t>
    </r>
    <r>
      <rPr>
        <b/>
        <sz val="11"/>
        <color theme="1"/>
        <rFont val="Calibri"/>
        <family val="2"/>
        <scheme val="minor"/>
      </rPr>
      <t xml:space="preserve"> $400.000</t>
    </r>
    <r>
      <rPr>
        <sz val="11"/>
        <color theme="1"/>
        <rFont val="Calibri"/>
        <family val="2"/>
        <scheme val="minor"/>
      </rPr>
      <t xml:space="preserve"> para un total de dos (2) mantenimientos en el año por </t>
    </r>
    <r>
      <rPr>
        <b/>
        <sz val="11"/>
        <color theme="1"/>
        <rFont val="Calibri"/>
        <family val="2"/>
        <scheme val="minor"/>
      </rPr>
      <t xml:space="preserve">$800.000.                                                                  </t>
    </r>
    <r>
      <rPr>
        <sz val="11"/>
        <color theme="1"/>
        <rFont val="Calibri"/>
        <family val="2"/>
        <scheme val="minor"/>
      </rPr>
      <t xml:space="preserve">Reparación de maquinas que se dañen en el transcurso del año o implementación deportiva de todas las áreas, que necesiten arreglo: </t>
    </r>
    <r>
      <rPr>
        <b/>
        <sz val="11"/>
        <color theme="1"/>
        <rFont val="Calibri"/>
        <family val="2"/>
        <scheme val="minor"/>
      </rPr>
      <t xml:space="preserve">$3´000.000   </t>
    </r>
    <r>
      <rPr>
        <sz val="11"/>
        <color theme="1"/>
        <rFont val="Calibri"/>
        <family val="2"/>
        <scheme val="minor"/>
      </rPr>
      <t xml:space="preserve">  total solicitado:</t>
    </r>
    <r>
      <rPr>
        <b/>
        <sz val="11"/>
        <color theme="1"/>
        <rFont val="Calibri"/>
        <family val="2"/>
        <scheme val="minor"/>
      </rPr>
      <t xml:space="preserve"> $6'200,000                                                     </t>
    </r>
  </si>
  <si>
    <r>
      <t>23</t>
    </r>
    <r>
      <rPr>
        <b/>
        <sz val="11"/>
        <color theme="1"/>
        <rFont val="Calibri"/>
        <family val="2"/>
        <scheme val="minor"/>
      </rPr>
      <t>. RUGBY:</t>
    </r>
    <r>
      <rPr>
        <sz val="11"/>
        <color theme="1"/>
        <rFont val="Calibri"/>
        <family val="2"/>
        <scheme val="minor"/>
      </rPr>
      <t xml:space="preserve">
FEMENINO: 12 Uniformes
MASCULINO: 12 Uniformes
</t>
    </r>
    <r>
      <rPr>
        <b/>
        <sz val="11"/>
        <color theme="1"/>
        <rFont val="Calibri"/>
        <family val="2"/>
        <scheme val="minor"/>
      </rPr>
      <t>PORRISMO:</t>
    </r>
    <r>
      <rPr>
        <sz val="11"/>
        <color theme="1"/>
        <rFont val="Calibri"/>
        <family val="2"/>
        <scheme val="minor"/>
      </rPr>
      <t xml:space="preserve">
FEMENINO: 12 Uniformes
MASCULINO: 12 Uniformes
</t>
    </r>
    <r>
      <rPr>
        <b/>
        <sz val="11"/>
        <color theme="1"/>
        <rFont val="Calibri"/>
        <family val="2"/>
        <scheme val="minor"/>
      </rPr>
      <t>TENIS DE MESA:</t>
    </r>
    <r>
      <rPr>
        <sz val="11"/>
        <color theme="1"/>
        <rFont val="Calibri"/>
        <family val="2"/>
        <scheme val="minor"/>
      </rPr>
      <t xml:space="preserve">
FEMENINO: 10 Uniformes
MASCULINO: 10 Uniformes
</t>
    </r>
    <r>
      <rPr>
        <b/>
        <sz val="11"/>
        <color theme="1"/>
        <rFont val="Calibri"/>
        <family val="2"/>
        <scheme val="minor"/>
      </rPr>
      <t>BALONCESTO:</t>
    </r>
    <r>
      <rPr>
        <sz val="11"/>
        <color theme="1"/>
        <rFont val="Calibri"/>
        <family val="2"/>
        <scheme val="minor"/>
      </rPr>
      <t xml:space="preserve">
FEMENINO: 12 Uniformes
MASCULINO: 12 Uniformes
</t>
    </r>
    <r>
      <rPr>
        <b/>
        <sz val="11"/>
        <color theme="1"/>
        <rFont val="Calibri"/>
        <family val="2"/>
        <scheme val="minor"/>
      </rPr>
      <t>VOLEIBOL PISO:</t>
    </r>
    <r>
      <rPr>
        <sz val="11"/>
        <color theme="1"/>
        <rFont val="Calibri"/>
        <family val="2"/>
        <scheme val="minor"/>
      </rPr>
      <t xml:space="preserve">
FEMENINO: 10 Uniformes
MASCULINO: 10 Uniformes
Cada uniforme con si par de rodilleras.
</t>
    </r>
    <r>
      <rPr>
        <b/>
        <sz val="11"/>
        <color theme="1"/>
        <rFont val="Calibri"/>
        <family val="2"/>
        <scheme val="minor"/>
      </rPr>
      <t>VOLEY ARENA:</t>
    </r>
    <r>
      <rPr>
        <sz val="11"/>
        <color theme="1"/>
        <rFont val="Calibri"/>
        <family val="2"/>
        <scheme val="minor"/>
      </rPr>
      <t xml:space="preserve">
FEMENINO: 4 Uniformes
MASCULINO: 4 Uniformes
Cada uniforme con su par de chanclas.
</t>
    </r>
    <r>
      <rPr>
        <b/>
        <sz val="11"/>
        <color theme="1"/>
        <rFont val="Calibri"/>
        <family val="2"/>
        <scheme val="minor"/>
      </rPr>
      <t>NATACIÓN:</t>
    </r>
    <r>
      <rPr>
        <sz val="11"/>
        <color theme="1"/>
        <rFont val="Calibri"/>
        <family val="2"/>
        <scheme val="minor"/>
      </rPr>
      <t xml:space="preserve">
FEMENINO: 10 Uniformes y 10 trajes de baño.
MASCULINO: 10 Uniformes y 10 pantalonetas de baño.
</t>
    </r>
    <r>
      <rPr>
        <b/>
        <sz val="11"/>
        <color theme="1"/>
        <rFont val="Calibri"/>
        <family val="2"/>
        <scheme val="minor"/>
      </rPr>
      <t>FÚTBOL:</t>
    </r>
    <r>
      <rPr>
        <sz val="11"/>
        <color theme="1"/>
        <rFont val="Calibri"/>
        <family val="2"/>
        <scheme val="minor"/>
      </rPr>
      <t xml:space="preserve">
FEMENINO: 24 Uniformes un par de arquero con sus guantes.
MASCULINO: 24 Uniformes para los estudiantes con un par para arquero y su par de guantes, Uniformes para los egresados con un par para arquero y su par de guantes, Uniformes para los docentes con un par para arquero y su par de guantes.
</t>
    </r>
    <r>
      <rPr>
        <b/>
        <sz val="11"/>
        <color theme="1"/>
        <rFont val="Calibri"/>
        <family val="2"/>
        <scheme val="minor"/>
      </rPr>
      <t>FÚTBOL SALA:</t>
    </r>
    <r>
      <rPr>
        <sz val="11"/>
        <color theme="1"/>
        <rFont val="Calibri"/>
        <family val="2"/>
        <scheme val="minor"/>
      </rPr>
      <t xml:space="preserve">
FEMENINO: 12 Uniformes con un para para arquero y su par de guantes.
MASCULINO: 12 Uniformes con un para para arquero y su par de guantes.
</t>
    </r>
    <r>
      <rPr>
        <b/>
        <sz val="11"/>
        <color theme="1"/>
        <rFont val="Calibri"/>
        <family val="2"/>
        <scheme val="minor"/>
      </rPr>
      <t>CLUB DE LA SALUD:</t>
    </r>
    <r>
      <rPr>
        <sz val="11"/>
        <color theme="1"/>
        <rFont val="Calibri"/>
        <family val="2"/>
        <scheme val="minor"/>
      </rPr>
      <t xml:space="preserve">
MASCULINO Y FEMENINO:  20 Buzos de licra y gorros de licra, 20 gorras.
</t>
    </r>
    <r>
      <rPr>
        <b/>
        <sz val="11"/>
        <color theme="1"/>
        <rFont val="Calibri"/>
        <family val="2"/>
        <scheme val="minor"/>
      </rPr>
      <t>GIMNASIO:</t>
    </r>
    <r>
      <rPr>
        <sz val="11"/>
        <color theme="1"/>
        <rFont val="Calibri"/>
        <family val="2"/>
        <scheme val="minor"/>
      </rPr>
      <t xml:space="preserve">
500 Toallas para el sudor.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UNIFORMES PARA DOCENTES: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Equipo de baloncesto masculino: 12 uniformes                                                              Equipo docentes derecho: 22 uniformes                                                                            Equipo docentes Belmonte: 22 uniformes                                                                   Equipo docentes consultorio jurídico: 22 uniformes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UNIFORMES PARA DEPORTEISTAS APOYADOS DURANTE EL AÑO:                         </t>
    </r>
    <r>
      <rPr>
        <sz val="11"/>
        <color theme="1"/>
        <rFont val="Calibri"/>
        <family val="2"/>
        <scheme val="minor"/>
      </rPr>
      <t xml:space="preserve">Tenis de campo docentes                                                                                                      Tenis de campo estudiantes                                                                                          Baloncesto docentes                                                                                                          Tiro con arco                                                                                                                            Artes marciales
</t>
    </r>
  </si>
  <si>
    <r>
      <t xml:space="preserve">11. </t>
    </r>
    <r>
      <rPr>
        <b/>
        <sz val="11"/>
        <color theme="1"/>
        <rFont val="Calibri"/>
        <family val="2"/>
        <scheme val="minor"/>
      </rPr>
      <t>ACTIVIDADES DE PORRISMO: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BOGOTÁ MASTER CHEER COMPANY</t>
    </r>
    <r>
      <rPr>
        <sz val="11"/>
        <color theme="1"/>
        <rFont val="Calibri"/>
        <family val="2"/>
        <scheme val="minor"/>
      </rPr>
      <t xml:space="preserve">
Transporte (bus alquilado) para 21 personas </t>
    </r>
    <r>
      <rPr>
        <b/>
        <sz val="11"/>
        <color theme="1"/>
        <rFont val="Calibri"/>
        <family val="2"/>
        <scheme val="minor"/>
      </rPr>
      <t>$5'040,000</t>
    </r>
    <r>
      <rPr>
        <sz val="11"/>
        <color theme="1"/>
        <rFont val="Calibri"/>
        <family val="2"/>
        <scheme val="minor"/>
      </rPr>
      <t xml:space="preserve">  ida y regreso
Hospedaje: para 21 personas $60,000 la noche por persona por 4 noches un total de 5.100,000
Inscripción: por persona $50.000 por 20 deportistas un total de $1.000.000. se solicita un total de</t>
    </r>
    <r>
      <rPr>
        <b/>
        <sz val="11"/>
        <color theme="1"/>
        <rFont val="Calibri"/>
        <family val="2"/>
        <scheme val="minor"/>
      </rPr>
      <t xml:space="preserve"> $12,000,000</t>
    </r>
  </si>
  <si>
    <t>22. Compra de implementación deportiva de acuerdo a las diferentes disciplinas deportivas  y los apoyos requeridos para un mejor servicio en el área de deportes y recreación de la Universidad Libre.</t>
  </si>
  <si>
    <r>
      <t>24.</t>
    </r>
    <r>
      <rPr>
        <b/>
        <sz val="11"/>
        <color theme="1"/>
        <rFont val="Calibri"/>
        <family val="2"/>
        <scheme val="minor"/>
      </rPr>
      <t xml:space="preserve"> BOTIQUÍN: </t>
    </r>
    <r>
      <rPr>
        <sz val="11"/>
        <color theme="1"/>
        <rFont val="Calibri"/>
        <family val="2"/>
        <scheme val="minor"/>
      </rPr>
      <t xml:space="preserve">                                                              Linimento
Bengay azul
Voltarén
Gaza por paquetes
Esparadrapo delgado
Micropore ancho
Cajas de botiquín grandes
Agua salina mediana
Jeringas
Guantes
Baja lenguas
Parches para ojos
Alcohol
Vendas elásticas y fijas en presentación pequeña
Isodine espuma
Isodine solución
Repelente
desinfectante</t>
    </r>
  </si>
  <si>
    <r>
      <t xml:space="preserve">15. Actividades para fortalecer la practica de actividad física que involucre a estudiantes, egresados, administrativos y docentes:                                                                                1. Competencia </t>
    </r>
    <r>
      <rPr>
        <b/>
        <sz val="11"/>
        <color theme="1"/>
        <rFont val="Calibri"/>
        <family val="2"/>
        <scheme val="minor"/>
      </rPr>
      <t>PESO PESADO</t>
    </r>
    <r>
      <rPr>
        <sz val="11"/>
        <color theme="1"/>
        <rFont val="Calibri"/>
        <family val="2"/>
        <scheme val="minor"/>
      </rPr>
      <t xml:space="preserve"> valor premiación: primer lugar por categoría y rama (categoría: experto, principiante) (rama: femenina, masculina) bono de compra por $200,000 segundo lugar bono de compra por $100.000 para un total solicitado de </t>
    </r>
    <r>
      <rPr>
        <b/>
        <sz val="11"/>
        <color theme="1"/>
        <rFont val="Calibri"/>
        <family val="2"/>
        <scheme val="minor"/>
      </rPr>
      <t>$1'200.000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2. competencia </t>
    </r>
    <r>
      <rPr>
        <b/>
        <sz val="11"/>
        <color theme="1"/>
        <rFont val="Calibri"/>
        <family val="2"/>
        <scheme val="minor"/>
      </rPr>
      <t>CROSSFIT UNILIBRISTA</t>
    </r>
    <r>
      <rPr>
        <sz val="11"/>
        <color theme="1"/>
        <rFont val="Calibri"/>
        <family val="2"/>
        <scheme val="minor"/>
      </rPr>
      <t xml:space="preserve"> valor premiación:                                                                 primer lugar por categoría y rama (categoría: experto, principiante) (rama: femenina, masculina bono de compra por </t>
    </r>
    <r>
      <rPr>
        <b/>
        <sz val="11"/>
        <color theme="1"/>
        <rFont val="Calibri"/>
        <family val="2"/>
        <scheme val="minor"/>
      </rPr>
      <t xml:space="preserve"> $200.000</t>
    </r>
    <r>
      <rPr>
        <sz val="11"/>
        <color theme="1"/>
        <rFont val="Calibri"/>
        <family val="2"/>
        <scheme val="minor"/>
      </rPr>
      <t xml:space="preserve"> segundo lugar bono de compra por </t>
    </r>
    <r>
      <rPr>
        <b/>
        <sz val="11"/>
        <color theme="1"/>
        <rFont val="Calibri"/>
        <family val="2"/>
        <scheme val="minor"/>
      </rPr>
      <t>$100.000</t>
    </r>
    <r>
      <rPr>
        <sz val="11"/>
        <color theme="1"/>
        <rFont val="Calibri"/>
        <family val="2"/>
        <scheme val="minor"/>
      </rPr>
      <t xml:space="preserve"> para un total solicitado de </t>
    </r>
    <r>
      <rPr>
        <b/>
        <sz val="11"/>
        <color theme="1"/>
        <rFont val="Calibri"/>
        <family val="2"/>
        <scheme val="minor"/>
      </rPr>
      <t xml:space="preserve">$1'200.000.                                               </t>
    </r>
    <r>
      <rPr>
        <sz val="11"/>
        <color theme="1"/>
        <rFont val="Calibri"/>
        <family val="2"/>
        <scheme val="minor"/>
      </rPr>
      <t>Hidratación :</t>
    </r>
    <r>
      <rPr>
        <b/>
        <sz val="11"/>
        <color theme="1"/>
        <rFont val="Calibri"/>
        <family val="2"/>
        <scheme val="minor"/>
      </rPr>
      <t xml:space="preserve"> $700.000                                                                                                estas actividades se realizan  una en el primer semestre y la otra en el segundo semestre del año en curso.</t>
    </r>
  </si>
  <si>
    <t>5195959502</t>
  </si>
  <si>
    <r>
      <t xml:space="preserve">NOMBRE:  </t>
    </r>
    <r>
      <rPr>
        <sz val="14"/>
        <color rgb="FF000000"/>
        <rFont val="Arial"/>
        <family val="2"/>
      </rPr>
      <t>PAULA ANDREA</t>
    </r>
    <r>
      <rPr>
        <b/>
        <sz val="14"/>
        <color indexed="8"/>
        <rFont val="Arial"/>
        <family val="2"/>
      </rPr>
      <t xml:space="preserve"> </t>
    </r>
    <r>
      <rPr>
        <sz val="14"/>
        <color rgb="FF000000"/>
        <rFont val="Arial"/>
        <family val="2"/>
      </rPr>
      <t>FLÓREZ VELASQUEZ</t>
    </r>
  </si>
  <si>
    <r>
      <t xml:space="preserve">CARGO: </t>
    </r>
    <r>
      <rPr>
        <sz val="14"/>
        <color rgb="FF000000"/>
        <rFont val="Arial"/>
        <family val="2"/>
      </rPr>
      <t>Directora de Bienestar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</si>
</sst>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(* #,##0.00_);_(* \(#,##0.00\);_(* &quot;-&quot;??_);_(@_)"/>
    <numFmt numFmtId="165" formatCode="_-&quot;$&quot;* #,##0.00_-;\-&quot;$&quot;* #,##0.00_-;_-&quot;$&quot;* &quot;-&quot;??_-;_-@_-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2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sz val="14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0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4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524">
    <xf numFmtId="0" fontId="0" fillId="0" borderId="0" xfId="0"/>
    <xf numFmtId="0" fontId="27" fillId="0" borderId="79" xfId="0" applyFont="1" applyBorder="1" applyAlignment="1">
      <alignment vertical="center"/>
    </xf>
    <xf numFmtId="0" fontId="28" fillId="0" borderId="80" xfId="0" applyFont="1" applyBorder="1" applyAlignment="1">
      <alignment vertical="center"/>
    </xf>
    <xf numFmtId="0" fontId="27" fillId="0" borderId="81" xfId="0" applyFont="1" applyBorder="1" applyAlignment="1">
      <alignment vertical="center"/>
    </xf>
    <xf numFmtId="0" fontId="27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4" xfId="0" applyNumberFormat="1" applyFont="1" applyBorder="1" applyAlignment="1">
      <alignment vertical="center"/>
    </xf>
    <xf numFmtId="1" fontId="30" fillId="0" borderId="4" xfId="0" applyNumberFormat="1" applyFont="1" applyBorder="1" applyAlignment="1">
      <alignment horizontal="center" vertical="center"/>
    </xf>
    <xf numFmtId="4" fontId="30" fillId="0" borderId="4" xfId="0" applyNumberFormat="1" applyFont="1" applyBorder="1" applyAlignment="1">
      <alignment horizontal="center" vertical="center"/>
    </xf>
    <xf numFmtId="4" fontId="27" fillId="0" borderId="4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7" xfId="0" applyNumberFormat="1" applyFont="1" applyBorder="1" applyAlignment="1">
      <alignment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31" fillId="0" borderId="84" xfId="0" applyFont="1" applyBorder="1" applyAlignment="1">
      <alignment vertical="center"/>
    </xf>
    <xf numFmtId="0" fontId="27" fillId="14" borderId="19" xfId="0" applyFont="1" applyFill="1" applyBorder="1" applyAlignment="1">
      <alignment horizontal="center"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0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1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22" xfId="0" applyFont="1" applyFill="1" applyBorder="1" applyAlignment="1">
      <alignment vertical="center"/>
    </xf>
    <xf numFmtId="0" fontId="27" fillId="14" borderId="79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0" fontId="29" fillId="14" borderId="79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1" xfId="0" applyNumberFormat="1" applyFont="1" applyFill="1" applyBorder="1" applyAlignment="1">
      <alignment vertical="center"/>
    </xf>
    <xf numFmtId="4" fontId="27" fillId="14" borderId="79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79" xfId="0" applyFont="1" applyFill="1" applyBorder="1" applyAlignment="1">
      <alignment vertical="center"/>
    </xf>
    <xf numFmtId="0" fontId="27" fillId="14" borderId="84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88" xfId="0" applyFont="1" applyFill="1" applyBorder="1" applyAlignment="1">
      <alignment vertical="center"/>
    </xf>
    <xf numFmtId="0" fontId="34" fillId="14" borderId="89" xfId="0" applyFont="1" applyFill="1" applyBorder="1" applyAlignment="1">
      <alignment vertical="center"/>
    </xf>
    <xf numFmtId="0" fontId="34" fillId="14" borderId="90" xfId="0" applyFont="1" applyFill="1" applyBorder="1" applyAlignment="1">
      <alignment vertical="center"/>
    </xf>
    <xf numFmtId="0" fontId="30" fillId="14" borderId="88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1" xfId="0" applyFont="1" applyFill="1" applyBorder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2" xfId="0" applyFont="1" applyFill="1" applyBorder="1" applyAlignment="1">
      <alignment horizontal="center" vertical="center"/>
    </xf>
    <xf numFmtId="0" fontId="30" fillId="14" borderId="22" xfId="0" applyFont="1" applyFill="1" applyBorder="1" applyAlignment="1">
      <alignment horizontal="center" vertical="center" wrapText="1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6" xfId="80" applyFont="1" applyFill="1" applyBorder="1" applyAlignment="1" applyProtection="1">
      <alignment horizontal="left" vertical="center"/>
    </xf>
    <xf numFmtId="167" fontId="2" fillId="13" borderId="27" xfId="59" applyNumberFormat="1" applyFont="1" applyFill="1" applyBorder="1" applyAlignment="1" applyProtection="1">
      <alignment vertical="center"/>
      <protection locked="0"/>
    </xf>
    <xf numFmtId="167" fontId="2" fillId="13" borderId="27" xfId="59" applyNumberFormat="1" applyFont="1" applyFill="1" applyBorder="1" applyAlignment="1" applyProtection="1">
      <alignment vertical="center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horizontal="left" vertical="center"/>
    </xf>
    <xf numFmtId="167" fontId="2" fillId="13" borderId="32" xfId="59" applyNumberFormat="1" applyFont="1" applyFill="1" applyBorder="1" applyAlignment="1" applyProtection="1">
      <alignment vertical="center"/>
      <protection locked="0"/>
    </xf>
    <xf numFmtId="167" fontId="2" fillId="13" borderId="32" xfId="59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left" vertical="center"/>
    </xf>
    <xf numFmtId="167" fontId="2" fillId="13" borderId="34" xfId="59" applyNumberFormat="1" applyFont="1" applyFill="1" applyBorder="1" applyAlignment="1" applyProtection="1">
      <alignment vertical="center"/>
      <protection locked="0"/>
    </xf>
    <xf numFmtId="167" fontId="2" fillId="13" borderId="34" xfId="59" applyNumberFormat="1" applyFont="1" applyFill="1" applyBorder="1" applyAlignment="1" applyProtection="1">
      <alignment vertical="center"/>
    </xf>
    <xf numFmtId="0" fontId="18" fillId="16" borderId="35" xfId="0" applyFont="1" applyFill="1" applyBorder="1" applyAlignment="1">
      <alignment vertical="center" wrapText="1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42" fontId="18" fillId="16" borderId="38" xfId="72" applyFont="1" applyFill="1" applyBorder="1" applyAlignment="1">
      <alignment vertical="center" wrapText="1"/>
    </xf>
    <xf numFmtId="0" fontId="35" fillId="17" borderId="35" xfId="0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42" fontId="35" fillId="17" borderId="38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1" xfId="80" applyFont="1" applyFill="1" applyBorder="1" applyAlignment="1" applyProtection="1">
      <alignment vertical="center" wrapText="1"/>
    </xf>
    <xf numFmtId="167" fontId="2" fillId="13" borderId="39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1" xfId="80" applyFont="1" applyFill="1" applyBorder="1" applyAlignment="1" applyProtection="1">
      <alignment vertical="center" wrapText="1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0" fillId="14" borderId="44" xfId="0" applyFont="1" applyFill="1" applyBorder="1" applyAlignment="1">
      <alignment horizontal="left" vertical="center"/>
    </xf>
    <xf numFmtId="0" fontId="30" fillId="14" borderId="45" xfId="0" applyFont="1" applyFill="1" applyBorder="1" applyAlignment="1">
      <alignment vertical="center"/>
    </xf>
    <xf numFmtId="168" fontId="2" fillId="13" borderId="32" xfId="61" applyNumberFormat="1" applyFont="1" applyFill="1" applyBorder="1" applyAlignment="1" applyProtection="1">
      <alignment vertical="center"/>
      <protection locked="0"/>
    </xf>
    <xf numFmtId="168" fontId="2" fillId="13" borderId="32" xfId="61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168" fontId="2" fillId="13" borderId="32" xfId="80" applyNumberFormat="1" applyFont="1" applyFill="1" applyBorder="1" applyAlignment="1" applyProtection="1">
      <alignment vertical="center"/>
    </xf>
    <xf numFmtId="168" fontId="2" fillId="13" borderId="39" xfId="80" applyNumberFormat="1" applyFont="1" applyFill="1" applyBorder="1" applyAlignment="1" applyProtection="1">
      <alignment vertical="center"/>
    </xf>
    <xf numFmtId="0" fontId="30" fillId="14" borderId="46" xfId="0" applyFont="1" applyFill="1" applyBorder="1" applyAlignment="1">
      <alignment horizontal="left" vertical="center"/>
    </xf>
    <xf numFmtId="0" fontId="30" fillId="14" borderId="47" xfId="0" applyFont="1" applyFill="1" applyBorder="1" applyAlignment="1">
      <alignment vertical="center"/>
    </xf>
    <xf numFmtId="168" fontId="2" fillId="13" borderId="34" xfId="61" applyNumberFormat="1" applyFont="1" applyFill="1" applyBorder="1" applyAlignment="1" applyProtection="1">
      <alignment vertical="center"/>
      <protection locked="0"/>
    </xf>
    <xf numFmtId="168" fontId="2" fillId="13" borderId="34" xfId="61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8" fontId="2" fillId="13" borderId="34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18" fillId="16" borderId="48" xfId="0" applyFont="1" applyFill="1" applyBorder="1" applyAlignment="1">
      <alignment vertical="center" wrapText="1"/>
    </xf>
    <xf numFmtId="0" fontId="30" fillId="18" borderId="41" xfId="0" applyFont="1" applyFill="1" applyBorder="1" applyAlignment="1">
      <alignment horizontal="left" vertical="center"/>
    </xf>
    <xf numFmtId="0" fontId="30" fillId="18" borderId="42" xfId="0" applyFont="1" applyFill="1" applyBorder="1" applyAlignment="1">
      <alignment vertical="center"/>
    </xf>
    <xf numFmtId="168" fontId="2" fillId="13" borderId="27" xfId="61" applyNumberFormat="1" applyFont="1" applyFill="1" applyBorder="1" applyAlignment="1" applyProtection="1">
      <alignment vertical="center"/>
    </xf>
    <xf numFmtId="0" fontId="2" fillId="13" borderId="27" xfId="80" applyFont="1" applyFill="1" applyBorder="1" applyAlignment="1" applyProtection="1">
      <alignment vertical="center"/>
    </xf>
    <xf numFmtId="168" fontId="2" fillId="13" borderId="27" xfId="80" applyNumberFormat="1" applyFont="1" applyFill="1" applyBorder="1" applyAlignment="1" applyProtection="1">
      <alignment vertical="center"/>
    </xf>
    <xf numFmtId="168" fontId="2" fillId="13" borderId="49" xfId="80" applyNumberFormat="1" applyFont="1" applyFill="1" applyBorder="1" applyAlignment="1" applyProtection="1">
      <alignment vertical="center"/>
    </xf>
    <xf numFmtId="0" fontId="30" fillId="18" borderId="44" xfId="0" applyFont="1" applyFill="1" applyBorder="1" applyAlignment="1">
      <alignment horizontal="left" vertical="center"/>
    </xf>
    <xf numFmtId="0" fontId="30" fillId="18" borderId="45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6" xfId="0" applyFont="1" applyFill="1" applyBorder="1" applyAlignment="1">
      <alignment horizontal="left" vertical="center"/>
    </xf>
    <xf numFmtId="0" fontId="30" fillId="18" borderId="47" xfId="0" applyFont="1" applyFill="1" applyBorder="1" applyAlignment="1">
      <alignment vertical="center"/>
    </xf>
    <xf numFmtId="0" fontId="35" fillId="17" borderId="4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0" borderId="41" xfId="0" applyFont="1" applyBorder="1" applyAlignment="1">
      <alignment horizontal="left" vertical="center"/>
    </xf>
    <xf numFmtId="0" fontId="30" fillId="14" borderId="42" xfId="0" applyFont="1" applyFill="1" applyBorder="1" applyAlignment="1">
      <alignment vertical="center"/>
    </xf>
    <xf numFmtId="0" fontId="30" fillId="0" borderId="51" xfId="0" applyFont="1" applyBorder="1" applyAlignment="1">
      <alignment vertical="center"/>
    </xf>
    <xf numFmtId="0" fontId="2" fillId="13" borderId="27" xfId="80" applyFont="1" applyFill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vertical="center"/>
    </xf>
    <xf numFmtId="168" fontId="30" fillId="0" borderId="49" xfId="26" applyNumberFormat="1" applyFont="1" applyBorder="1" applyAlignment="1" applyProtection="1">
      <alignment vertical="center"/>
    </xf>
    <xf numFmtId="0" fontId="30" fillId="18" borderId="27" xfId="0" applyFont="1" applyFill="1" applyBorder="1" applyAlignment="1">
      <alignment vertical="center" wrapText="1"/>
    </xf>
    <xf numFmtId="168" fontId="2" fillId="13" borderId="27" xfId="26" applyNumberFormat="1" applyFont="1" applyFill="1" applyBorder="1" applyAlignment="1" applyProtection="1">
      <alignment horizontal="center" vertical="center" wrapText="1"/>
    </xf>
    <xf numFmtId="168" fontId="2" fillId="13" borderId="49" xfId="26" applyNumberFormat="1" applyFont="1" applyFill="1" applyBorder="1" applyAlignment="1" applyProtection="1">
      <alignment vertical="center"/>
    </xf>
    <xf numFmtId="0" fontId="30" fillId="0" borderId="44" xfId="0" applyFont="1" applyBorder="1" applyAlignment="1">
      <alignment horizontal="left" vertical="center"/>
    </xf>
    <xf numFmtId="0" fontId="30" fillId="0" borderId="52" xfId="0" applyFont="1" applyBorder="1" applyAlignment="1">
      <alignment vertical="center"/>
    </xf>
    <xf numFmtId="0" fontId="2" fillId="13" borderId="32" xfId="80" applyFont="1" applyFill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vertical="center"/>
    </xf>
    <xf numFmtId="168" fontId="30" fillId="0" borderId="39" xfId="26" applyNumberFormat="1" applyFont="1" applyBorder="1" applyAlignment="1" applyProtection="1">
      <alignment vertical="center"/>
    </xf>
    <xf numFmtId="0" fontId="30" fillId="18" borderId="32" xfId="0" applyFont="1" applyFill="1" applyBorder="1" applyAlignment="1">
      <alignment vertical="center" wrapText="1"/>
    </xf>
    <xf numFmtId="168" fontId="2" fillId="13" borderId="32" xfId="26" applyNumberFormat="1" applyFont="1" applyFill="1" applyBorder="1" applyAlignment="1" applyProtection="1">
      <alignment horizontal="center" vertical="center" wrapText="1"/>
    </xf>
    <xf numFmtId="168" fontId="2" fillId="13" borderId="39" xfId="26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/>
    </xf>
    <xf numFmtId="0" fontId="30" fillId="18" borderId="52" xfId="0" applyFont="1" applyFill="1" applyBorder="1" applyAlignment="1">
      <alignment horizontal="left" vertical="center"/>
    </xf>
    <xf numFmtId="0" fontId="30" fillId="18" borderId="32" xfId="0" applyFont="1" applyFill="1" applyBorder="1" applyAlignment="1">
      <alignment vertical="center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horizontal="left" vertical="center"/>
    </xf>
    <xf numFmtId="0" fontId="30" fillId="0" borderId="55" xfId="0" applyFont="1" applyBorder="1" applyAlignment="1">
      <alignment horizontal="left" vertical="center"/>
    </xf>
    <xf numFmtId="0" fontId="2" fillId="13" borderId="34" xfId="80" applyFont="1" applyFill="1" applyBorder="1" applyAlignment="1" applyProtection="1">
      <alignment horizontal="center" vertical="center"/>
    </xf>
    <xf numFmtId="0" fontId="2" fillId="13" borderId="34" xfId="80" applyFont="1" applyFill="1" applyBorder="1" applyAlignment="1" applyProtection="1">
      <alignment horizontal="center" vertical="center" wrapText="1"/>
    </xf>
    <xf numFmtId="168" fontId="30" fillId="0" borderId="40" xfId="26" applyNumberFormat="1" applyFont="1" applyBorder="1" applyAlignment="1" applyProtection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34" xfId="0" applyFont="1" applyFill="1" applyBorder="1" applyAlignment="1">
      <alignment vertical="center"/>
    </xf>
    <xf numFmtId="168" fontId="2" fillId="13" borderId="34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30" fillId="18" borderId="52" xfId="0" applyFont="1" applyFill="1" applyBorder="1" applyAlignment="1">
      <alignment vertical="center"/>
    </xf>
    <xf numFmtId="0" fontId="30" fillId="14" borderId="45" xfId="0" applyFont="1" applyFill="1" applyBorder="1" applyAlignment="1">
      <alignment vertical="center" wrapText="1"/>
    </xf>
    <xf numFmtId="0" fontId="30" fillId="18" borderId="52" xfId="0" applyFont="1" applyFill="1" applyBorder="1" applyAlignment="1">
      <alignment vertical="center" wrapText="1"/>
    </xf>
    <xf numFmtId="0" fontId="30" fillId="0" borderId="58" xfId="0" applyFont="1" applyBorder="1" applyAlignment="1">
      <alignment vertical="center"/>
    </xf>
    <xf numFmtId="0" fontId="30" fillId="14" borderId="56" xfId="0" applyFont="1" applyFill="1" applyBorder="1" applyAlignment="1">
      <alignment vertical="center"/>
    </xf>
    <xf numFmtId="0" fontId="30" fillId="0" borderId="57" xfId="0" applyFont="1" applyBorder="1" applyAlignment="1">
      <alignment vertical="center"/>
    </xf>
    <xf numFmtId="167" fontId="33" fillId="15" borderId="35" xfId="0" applyNumberFormat="1" applyFont="1" applyFill="1" applyBorder="1" applyAlignment="1">
      <alignment vertical="center" wrapText="1"/>
    </xf>
    <xf numFmtId="167" fontId="33" fillId="15" borderId="59" xfId="0" applyNumberFormat="1" applyFont="1" applyFill="1" applyBorder="1" applyAlignment="1">
      <alignment vertical="center" wrapText="1"/>
    </xf>
    <xf numFmtId="42" fontId="33" fillId="15" borderId="5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19" xfId="89" applyNumberFormat="1" applyFont="1" applyFill="1" applyBorder="1" applyAlignment="1" applyProtection="1">
      <alignment vertical="center"/>
      <protection locked="0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30" fillId="0" borderId="19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30" fillId="0" borderId="21" xfId="0" applyFont="1" applyBorder="1" applyAlignment="1" applyProtection="1">
      <alignment vertical="center"/>
    </xf>
    <xf numFmtId="0" fontId="30" fillId="14" borderId="22" xfId="0" applyFont="1" applyFill="1" applyBorder="1" applyAlignment="1" applyProtection="1">
      <alignment vertical="center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20" fillId="14" borderId="22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1" xfId="0" applyFont="1" applyBorder="1" applyAlignment="1">
      <alignment vertical="center"/>
    </xf>
    <xf numFmtId="0" fontId="27" fillId="0" borderId="92" xfId="0" applyFont="1" applyBorder="1" applyAlignment="1">
      <alignment vertical="center"/>
    </xf>
    <xf numFmtId="167" fontId="35" fillId="15" borderId="35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5" xfId="89" applyNumberFormat="1" applyFont="1" applyFill="1" applyBorder="1" applyAlignment="1" applyProtection="1">
      <alignment horizontal="left" vertical="center"/>
      <protection hidden="1"/>
    </xf>
    <xf numFmtId="168" fontId="2" fillId="20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5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3" xfId="80" applyFont="1" applyFill="1" applyBorder="1" applyAlignment="1" applyProtection="1">
      <alignment horizontal="left" vertical="center" wrapText="1" indent="1"/>
    </xf>
    <xf numFmtId="0" fontId="2" fillId="13" borderId="54" xfId="80" applyFont="1" applyFill="1" applyBorder="1" applyAlignment="1" applyProtection="1">
      <alignment vertical="center" wrapText="1"/>
    </xf>
    <xf numFmtId="168" fontId="2" fillId="14" borderId="5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0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4" xfId="0" applyFont="1" applyFill="1" applyBorder="1" applyAlignment="1">
      <alignment horizontal="left" vertical="center" indent="1"/>
    </xf>
    <xf numFmtId="168" fontId="2" fillId="14" borderId="45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0" xfId="0" applyFont="1" applyFill="1" applyBorder="1"/>
    <xf numFmtId="0" fontId="2" fillId="13" borderId="44" xfId="80" applyFont="1" applyFill="1" applyBorder="1" applyAlignment="1" applyProtection="1">
      <alignment horizontal="left" vertical="center" wrapText="1" indent="1"/>
    </xf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4" borderId="45" xfId="0" applyFont="1" applyFill="1" applyBorder="1"/>
    <xf numFmtId="0" fontId="30" fillId="0" borderId="44" xfId="0" applyFont="1" applyBorder="1" applyAlignment="1">
      <alignment horizontal="left" vertical="center" indent="1"/>
    </xf>
    <xf numFmtId="0" fontId="2" fillId="13" borderId="44" xfId="80" applyFont="1" applyFill="1" applyBorder="1" applyAlignment="1" applyProtection="1">
      <alignment horizontal="left" indent="1"/>
    </xf>
    <xf numFmtId="0" fontId="2" fillId="13" borderId="58" xfId="80" applyFont="1" applyFill="1" applyBorder="1" applyAlignment="1" applyProtection="1">
      <alignment horizontal="left" indent="1"/>
    </xf>
    <xf numFmtId="167" fontId="2" fillId="13" borderId="56" xfId="59" applyNumberFormat="1" applyFont="1" applyFill="1" applyBorder="1" applyAlignment="1" applyProtection="1">
      <alignment horizontal="left" indent="1"/>
    </xf>
    <xf numFmtId="0" fontId="2" fillId="14" borderId="56" xfId="0" applyFont="1" applyFill="1" applyBorder="1"/>
    <xf numFmtId="0" fontId="2" fillId="14" borderId="61" xfId="0" applyFont="1" applyFill="1" applyBorder="1"/>
    <xf numFmtId="0" fontId="35" fillId="17" borderId="35" xfId="0" applyFont="1" applyFill="1" applyBorder="1" applyAlignment="1">
      <alignment horizontal="left" vertical="center"/>
    </xf>
    <xf numFmtId="0" fontId="35" fillId="17" borderId="5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5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5" xfId="89" applyNumberFormat="1" applyFont="1" applyFill="1" applyBorder="1" applyAlignment="1" applyProtection="1">
      <alignment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49" fontId="2" fillId="14" borderId="44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5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19" xfId="89" applyNumberFormat="1" applyFont="1" applyFill="1" applyBorder="1" applyAlignment="1" applyProtection="1">
      <protection locked="0"/>
    </xf>
    <xf numFmtId="0" fontId="30" fillId="0" borderId="19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3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1" xfId="89" applyNumberFormat="1" applyFont="1" applyFill="1" applyBorder="1" applyAlignment="1" applyProtection="1">
      <protection locked="0"/>
    </xf>
    <xf numFmtId="0" fontId="37" fillId="0" borderId="21" xfId="0" applyFont="1" applyBorder="1" applyProtection="1"/>
    <xf numFmtId="0" fontId="23" fillId="13" borderId="23" xfId="89" applyNumberFormat="1" applyFont="1" applyFill="1" applyBorder="1" applyAlignment="1" applyProtection="1">
      <protection locked="0"/>
    </xf>
    <xf numFmtId="0" fontId="37" fillId="14" borderId="23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81" xfId="0" applyFont="1" applyFill="1" applyBorder="1" applyAlignment="1">
      <alignment horizontal="left" vertical="center"/>
    </xf>
    <xf numFmtId="0" fontId="31" fillId="14" borderId="79" xfId="0" applyFont="1" applyFill="1" applyBorder="1" applyAlignment="1">
      <alignment horizontal="left" vertical="center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2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36" xfId="0" applyNumberFormat="1" applyFont="1" applyFill="1" applyBorder="1" applyAlignment="1">
      <alignment vertical="center" wrapText="1"/>
    </xf>
    <xf numFmtId="167" fontId="35" fillId="17" borderId="38" xfId="0" applyNumberFormat="1" applyFont="1" applyFill="1" applyBorder="1" applyAlignment="1">
      <alignment vertical="center" wrapText="1"/>
    </xf>
    <xf numFmtId="2" fontId="27" fillId="0" borderId="86" xfId="0" applyNumberFormat="1" applyFont="1" applyBorder="1" applyAlignment="1">
      <alignment vertical="center" wrapText="1"/>
    </xf>
    <xf numFmtId="1" fontId="27" fillId="0" borderId="86" xfId="0" applyNumberFormat="1" applyFont="1" applyBorder="1" applyAlignment="1">
      <alignment horizontal="center" vertical="center"/>
    </xf>
    <xf numFmtId="49" fontId="27" fillId="0" borderId="86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99" xfId="0" applyNumberFormat="1" applyBorder="1" applyAlignment="1">
      <alignment vertical="top" wrapText="1"/>
    </xf>
    <xf numFmtId="0" fontId="0" fillId="0" borderId="100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0" xfId="0" applyNumberFormat="1" applyBorder="1" applyAlignment="1">
      <alignment horizontal="center" vertical="top" wrapText="1"/>
    </xf>
    <xf numFmtId="0" fontId="0" fillId="0" borderId="101" xfId="0" applyNumberFormat="1" applyBorder="1" applyAlignment="1">
      <alignment horizontal="center" vertical="top" wrapText="1"/>
    </xf>
    <xf numFmtId="42" fontId="2" fillId="14" borderId="30" xfId="0" applyNumberFormat="1" applyFont="1" applyFill="1" applyBorder="1"/>
    <xf numFmtId="42" fontId="2" fillId="14" borderId="60" xfId="0" applyNumberFormat="1" applyFont="1" applyFill="1" applyBorder="1"/>
    <xf numFmtId="42" fontId="2" fillId="14" borderId="61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0" xfId="107" applyFont="1" applyFill="1" applyBorder="1" applyAlignment="1" applyProtection="1">
      <alignment vertical="center" wrapText="1"/>
      <protection hidden="1"/>
    </xf>
    <xf numFmtId="42" fontId="2" fillId="14" borderId="60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35" xfId="0" applyFont="1" applyFill="1" applyBorder="1" applyAlignment="1">
      <alignment vertical="center"/>
    </xf>
    <xf numFmtId="0" fontId="32" fillId="21" borderId="5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32" xfId="0" applyFill="1" applyBorder="1"/>
    <xf numFmtId="0" fontId="0" fillId="23" borderId="32" xfId="0" applyFill="1" applyBorder="1" applyAlignment="1">
      <alignment vertical="top"/>
    </xf>
    <xf numFmtId="0" fontId="0" fillId="0" borderId="32" xfId="0" applyBorder="1" applyAlignment="1">
      <alignment vertical="top"/>
    </xf>
    <xf numFmtId="0" fontId="46" fillId="14" borderId="31" xfId="85" applyFont="1" applyFill="1" applyBorder="1" applyAlignment="1">
      <alignment horizontal="center" vertical="center"/>
    </xf>
    <xf numFmtId="0" fontId="46" fillId="14" borderId="39" xfId="85" applyFont="1" applyFill="1" applyBorder="1" applyAlignment="1">
      <alignment horizontal="center" vertical="center"/>
    </xf>
    <xf numFmtId="0" fontId="46" fillId="14" borderId="67" xfId="85" applyFont="1" applyFill="1" applyBorder="1" applyAlignment="1">
      <alignment horizontal="center" vertical="center"/>
    </xf>
    <xf numFmtId="0" fontId="46" fillId="14" borderId="50" xfId="85" applyFont="1" applyFill="1" applyBorder="1" applyAlignment="1">
      <alignment horizontal="center" vertical="center"/>
    </xf>
    <xf numFmtId="0" fontId="0" fillId="23" borderId="32" xfId="0" applyFill="1" applyBorder="1" applyAlignment="1">
      <alignment horizontal="center" vertical="top"/>
    </xf>
    <xf numFmtId="0" fontId="35" fillId="21" borderId="59" xfId="0" applyFont="1" applyFill="1" applyBorder="1" applyAlignment="1">
      <alignment vertical="center"/>
    </xf>
    <xf numFmtId="0" fontId="30" fillId="0" borderId="86" xfId="0" applyFont="1" applyBorder="1" applyAlignment="1">
      <alignment horizontal="center" vertical="center"/>
    </xf>
    <xf numFmtId="0" fontId="30" fillId="14" borderId="20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2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2" xfId="85" applyFont="1" applyFill="1" applyBorder="1" applyAlignment="1">
      <alignment horizontal="center" vertical="center"/>
    </xf>
    <xf numFmtId="49" fontId="46" fillId="14" borderId="32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3" xfId="0" applyNumberFormat="1" applyFont="1" applyBorder="1" applyAlignment="1">
      <alignment vertical="center" wrapText="1"/>
    </xf>
    <xf numFmtId="0" fontId="27" fillId="14" borderId="20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2" xfId="0" applyFont="1" applyFill="1" applyBorder="1" applyAlignment="1">
      <alignment horizontal="center" vertical="center" wrapText="1"/>
    </xf>
    <xf numFmtId="42" fontId="32" fillId="21" borderId="59" xfId="72" applyFont="1" applyFill="1" applyBorder="1" applyAlignment="1">
      <alignment vertical="center"/>
    </xf>
    <xf numFmtId="42" fontId="31" fillId="0" borderId="5" xfId="72" applyFont="1" applyBorder="1" applyAlignment="1">
      <alignment vertical="center"/>
    </xf>
    <xf numFmtId="42" fontId="31" fillId="0" borderId="16" xfId="72" applyFont="1" applyBorder="1" applyAlignment="1">
      <alignment vertical="center"/>
    </xf>
    <xf numFmtId="42" fontId="27" fillId="0" borderId="87" xfId="72" applyFont="1" applyBorder="1" applyAlignment="1">
      <alignment vertical="center"/>
    </xf>
    <xf numFmtId="42" fontId="27" fillId="14" borderId="20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2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59" xfId="0" applyFont="1" applyFill="1" applyBorder="1" applyAlignment="1">
      <alignment vertical="center" wrapText="1"/>
    </xf>
    <xf numFmtId="4" fontId="29" fillId="0" borderId="3" xfId="0" applyNumberFormat="1" applyFont="1" applyBorder="1" applyAlignment="1">
      <alignment vertical="center" wrapText="1"/>
    </xf>
    <xf numFmtId="0" fontId="29" fillId="0" borderId="86" xfId="0" applyFont="1" applyBorder="1" applyAlignment="1">
      <alignment vertical="center" wrapText="1"/>
    </xf>
    <xf numFmtId="0" fontId="29" fillId="14" borderId="20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2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4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1" fontId="30" fillId="14" borderId="63" xfId="0" applyNumberFormat="1" applyFont="1" applyFill="1" applyBorder="1" applyAlignment="1">
      <alignment horizontal="center" vertical="center" wrapText="1"/>
    </xf>
    <xf numFmtId="0" fontId="32" fillId="21" borderId="59" xfId="0" applyFont="1" applyFill="1" applyBorder="1" applyAlignment="1">
      <alignment vertical="center" wrapText="1"/>
    </xf>
    <xf numFmtId="0" fontId="27" fillId="0" borderId="86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19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1" xfId="0" applyFont="1" applyFill="1" applyBorder="1" applyAlignment="1">
      <alignment vertical="center" wrapText="1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5" xfId="89" applyFont="1" applyBorder="1" applyAlignment="1" applyProtection="1">
      <alignment horizontal="center" vertical="center" wrapText="1"/>
      <protection hidden="1"/>
    </xf>
    <xf numFmtId="0" fontId="29" fillId="0" borderId="32" xfId="0" applyFont="1" applyBorder="1"/>
    <xf numFmtId="49" fontId="29" fillId="0" borderId="32" xfId="0" applyNumberFormat="1" applyFont="1" applyBorder="1" applyAlignment="1">
      <alignment horizontal="right"/>
    </xf>
    <xf numFmtId="0" fontId="29" fillId="0" borderId="32" xfId="0" applyFont="1" applyBorder="1" applyAlignment="1">
      <alignment horizontal="right"/>
    </xf>
    <xf numFmtId="41" fontId="0" fillId="0" borderId="0" xfId="106" applyFont="1"/>
    <xf numFmtId="41" fontId="51" fillId="0" borderId="48" xfId="106" applyFont="1" applyBorder="1" applyAlignment="1" applyProtection="1">
      <alignment horizontal="center" vertical="center" wrapText="1"/>
      <protection hidden="1"/>
    </xf>
    <xf numFmtId="0" fontId="0" fillId="0" borderId="32" xfId="0" applyBorder="1"/>
    <xf numFmtId="41" fontId="0" fillId="0" borderId="32" xfId="106" applyFont="1" applyBorder="1"/>
    <xf numFmtId="41" fontId="0" fillId="0" borderId="32" xfId="0" applyNumberFormat="1" applyBorder="1"/>
    <xf numFmtId="168" fontId="0" fillId="0" borderId="0" xfId="26" applyNumberFormat="1" applyFont="1"/>
    <xf numFmtId="168" fontId="0" fillId="0" borderId="32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2" xfId="26" applyNumberFormat="1" applyFont="1" applyBorder="1"/>
    <xf numFmtId="168" fontId="26" fillId="0" borderId="0" xfId="26" applyNumberFormat="1" applyFont="1"/>
    <xf numFmtId="1" fontId="30" fillId="14" borderId="66" xfId="0" applyNumberFormat="1" applyFont="1" applyFill="1" applyBorder="1" applyAlignment="1">
      <alignment horizontal="justify" vertical="center" wrapText="1"/>
    </xf>
    <xf numFmtId="1" fontId="30" fillId="14" borderId="66" xfId="0" applyNumberFormat="1" applyFont="1" applyFill="1" applyBorder="1" applyAlignment="1">
      <alignment horizontal="justify" vertical="center"/>
    </xf>
    <xf numFmtId="0" fontId="58" fillId="0" borderId="84" xfId="0" applyFont="1" applyBorder="1" applyAlignment="1">
      <alignment vertical="center"/>
    </xf>
    <xf numFmtId="0" fontId="58" fillId="14" borderId="81" xfId="0" applyFont="1" applyFill="1" applyBorder="1" applyAlignment="1">
      <alignment vertical="center"/>
    </xf>
    <xf numFmtId="0" fontId="58" fillId="14" borderId="79" xfId="0" applyFont="1" applyFill="1" applyBorder="1" applyAlignment="1">
      <alignment vertical="center"/>
    </xf>
    <xf numFmtId="167" fontId="59" fillId="15" borderId="1" xfId="0" applyNumberFormat="1" applyFont="1" applyFill="1" applyBorder="1" applyAlignment="1">
      <alignment horizontal="center" vertical="center" wrapText="1"/>
    </xf>
    <xf numFmtId="167" fontId="60" fillId="15" borderId="1" xfId="0" applyNumberFormat="1" applyFont="1" applyFill="1" applyBorder="1" applyAlignment="1">
      <alignment horizontal="center" vertical="center" wrapText="1"/>
    </xf>
    <xf numFmtId="42" fontId="38" fillId="17" borderId="2" xfId="72" applyFont="1" applyFill="1" applyBorder="1" applyAlignment="1">
      <alignment vertical="center" wrapText="1"/>
    </xf>
    <xf numFmtId="0" fontId="27" fillId="14" borderId="91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40" fillId="14" borderId="92" xfId="0" applyFont="1" applyFill="1" applyBorder="1" applyAlignment="1">
      <alignment horizontal="center" vertical="center"/>
    </xf>
    <xf numFmtId="0" fontId="40" fillId="14" borderId="84" xfId="0" applyFont="1" applyFill="1" applyBorder="1" applyAlignment="1">
      <alignment horizontal="center" vertical="center"/>
    </xf>
    <xf numFmtId="0" fontId="41" fillId="14" borderId="92" xfId="0" applyFont="1" applyFill="1" applyBorder="1" applyAlignment="1">
      <alignment horizontal="center" vertical="center"/>
    </xf>
    <xf numFmtId="0" fontId="41" fillId="14" borderId="84" xfId="0" applyFont="1" applyFill="1" applyBorder="1" applyAlignment="1">
      <alignment horizontal="center" vertical="center"/>
    </xf>
    <xf numFmtId="0" fontId="27" fillId="14" borderId="85" xfId="0" applyFont="1" applyFill="1" applyBorder="1" applyAlignment="1">
      <alignment horizontal="center" vertical="center"/>
    </xf>
    <xf numFmtId="0" fontId="27" fillId="14" borderId="95" xfId="0" applyFont="1" applyFill="1" applyBorder="1" applyAlignment="1">
      <alignment horizontal="center" vertical="center"/>
    </xf>
    <xf numFmtId="0" fontId="27" fillId="14" borderId="92" xfId="0" applyFont="1" applyFill="1" applyBorder="1" applyAlignment="1">
      <alignment horizontal="center" vertical="center"/>
    </xf>
    <xf numFmtId="167" fontId="35" fillId="15" borderId="5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167" fontId="35" fillId="15" borderId="5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19" xfId="0" applyNumberFormat="1" applyFont="1" applyFill="1" applyBorder="1" applyAlignment="1">
      <alignment horizontal="center" vertical="center" wrapText="1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49" fontId="2" fillId="14" borderId="41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5" xfId="0" applyFont="1" applyFill="1" applyBorder="1" applyAlignment="1">
      <alignment horizontal="center" vertical="center"/>
    </xf>
    <xf numFmtId="0" fontId="18" fillId="19" borderId="5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19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0" fontId="35" fillId="17" borderId="35" xfId="0" applyFont="1" applyFill="1" applyBorder="1" applyAlignment="1">
      <alignment horizontal="center" vertical="center" wrapText="1"/>
    </xf>
    <xf numFmtId="0" fontId="35" fillId="17" borderId="59" xfId="0" applyFont="1" applyFill="1" applyBorder="1" applyAlignment="1">
      <alignment horizontal="center" vertical="center" wrapText="1"/>
    </xf>
    <xf numFmtId="49" fontId="38" fillId="15" borderId="35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5" xfId="0" applyFont="1" applyFill="1" applyBorder="1" applyAlignment="1">
      <alignment horizontal="center" vertical="center"/>
    </xf>
    <xf numFmtId="0" fontId="19" fillId="19" borderId="5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5" xfId="0" applyFont="1" applyFill="1" applyBorder="1" applyAlignment="1">
      <alignment horizontal="left" vertical="center" wrapText="1"/>
    </xf>
    <xf numFmtId="0" fontId="18" fillId="16" borderId="59" xfId="0" applyFont="1" applyFill="1" applyBorder="1" applyAlignment="1">
      <alignment horizontal="left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67" xfId="80" applyFont="1" applyFill="1" applyBorder="1" applyAlignment="1" applyProtection="1">
      <alignment horizontal="center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5" fillId="17" borderId="37" xfId="0" applyFont="1" applyFill="1" applyBorder="1" applyAlignment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68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18" fillId="13" borderId="42" xfId="80" applyFont="1" applyFill="1" applyBorder="1" applyAlignment="1" applyProtection="1">
      <alignment horizontal="center" vertical="center" wrapText="1"/>
    </xf>
    <xf numFmtId="0" fontId="18" fillId="13" borderId="51" xfId="80" applyFont="1" applyFill="1" applyBorder="1" applyAlignment="1" applyProtection="1">
      <alignment horizontal="center" vertical="center" wrapText="1"/>
    </xf>
    <xf numFmtId="0" fontId="18" fillId="13" borderId="49" xfId="80" applyFont="1" applyFill="1" applyBorder="1" applyAlignment="1" applyProtection="1">
      <alignment horizontal="center" vertical="center" wrapText="1"/>
    </xf>
    <xf numFmtId="0" fontId="30" fillId="18" borderId="41" xfId="0" applyFont="1" applyFill="1" applyBorder="1" applyAlignment="1">
      <alignment horizontal="left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5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27" fillId="0" borderId="91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167" fontId="33" fillId="15" borderId="35" xfId="0" applyNumberFormat="1" applyFont="1" applyFill="1" applyBorder="1" applyAlignment="1">
      <alignment horizontal="center" vertical="center" wrapText="1"/>
    </xf>
    <xf numFmtId="167" fontId="33" fillId="15" borderId="5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27" fillId="0" borderId="85" xfId="0" applyFont="1" applyBorder="1" applyAlignment="1">
      <alignment horizontal="center" vertical="center"/>
    </xf>
    <xf numFmtId="0" fontId="27" fillId="0" borderId="95" xfId="0" applyFont="1" applyBorder="1" applyAlignment="1">
      <alignment horizontal="center" vertical="center"/>
    </xf>
    <xf numFmtId="0" fontId="27" fillId="0" borderId="92" xfId="0" applyFont="1" applyBorder="1" applyAlignment="1">
      <alignment horizontal="center" vertical="center"/>
    </xf>
    <xf numFmtId="0" fontId="40" fillId="0" borderId="92" xfId="0" applyFont="1" applyBorder="1" applyAlignment="1">
      <alignment horizontal="center" vertical="center"/>
    </xf>
    <xf numFmtId="0" fontId="40" fillId="0" borderId="84" xfId="0" applyFont="1" applyBorder="1" applyAlignment="1">
      <alignment horizontal="center" vertical="center"/>
    </xf>
    <xf numFmtId="0" fontId="42" fillId="0" borderId="92" xfId="0" applyFont="1" applyBorder="1" applyAlignment="1">
      <alignment horizontal="center" vertical="center"/>
    </xf>
    <xf numFmtId="0" fontId="42" fillId="0" borderId="84" xfId="0" applyFont="1" applyBorder="1" applyAlignment="1">
      <alignment horizontal="center" vertical="center"/>
    </xf>
    <xf numFmtId="0" fontId="17" fillId="19" borderId="35" xfId="0" applyFont="1" applyFill="1" applyBorder="1" applyAlignment="1">
      <alignment horizontal="center" vertical="center"/>
    </xf>
    <xf numFmtId="0" fontId="17" fillId="19" borderId="5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19" xfId="80" applyFont="1" applyFill="1" applyBorder="1" applyAlignment="1" applyProtection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5" xfId="0" applyFont="1" applyFill="1" applyBorder="1" applyAlignment="1">
      <alignment horizontal="left" vertical="center" wrapText="1"/>
    </xf>
    <xf numFmtId="0" fontId="35" fillId="17" borderId="59" xfId="0" applyFont="1" applyFill="1" applyBorder="1" applyAlignment="1">
      <alignment horizontal="left" vertical="center" wrapText="1"/>
    </xf>
    <xf numFmtId="167" fontId="45" fillId="22" borderId="19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59" fillId="15" borderId="35" xfId="0" applyNumberFormat="1" applyFont="1" applyFill="1" applyBorder="1" applyAlignment="1">
      <alignment horizontal="center" vertical="center" wrapText="1"/>
    </xf>
    <xf numFmtId="167" fontId="59" fillId="15" borderId="59" xfId="0" applyNumberFormat="1" applyFont="1" applyFill="1" applyBorder="1" applyAlignment="1">
      <alignment horizontal="center" vertical="center" wrapText="1"/>
    </xf>
    <xf numFmtId="167" fontId="59" fillId="15" borderId="2" xfId="0" applyNumberFormat="1" applyFont="1" applyFill="1" applyBorder="1" applyAlignment="1">
      <alignment horizontal="center" vertical="center" wrapText="1"/>
    </xf>
    <xf numFmtId="0" fontId="32" fillId="21" borderId="5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32" fillId="15" borderId="35" xfId="0" applyNumberFormat="1" applyFont="1" applyFill="1" applyBorder="1" applyAlignment="1">
      <alignment horizontal="center" vertical="center" wrapText="1"/>
    </xf>
    <xf numFmtId="167" fontId="32" fillId="15" borderId="5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5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22" xfId="0" applyNumberFormat="1" applyFont="1" applyFill="1" applyBorder="1" applyAlignment="1">
      <alignment horizontal="center" vertical="center" wrapText="1"/>
    </xf>
    <xf numFmtId="0" fontId="27" fillId="0" borderId="84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43" fillId="0" borderId="92" xfId="0" applyFont="1" applyBorder="1" applyAlignment="1">
      <alignment horizontal="center" vertical="center"/>
    </xf>
    <xf numFmtId="0" fontId="43" fillId="0" borderId="84" xfId="0" applyFont="1" applyBorder="1" applyAlignment="1">
      <alignment horizontal="center" vertical="center"/>
    </xf>
    <xf numFmtId="0" fontId="43" fillId="0" borderId="96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39" fillId="17" borderId="35" xfId="0" applyFont="1" applyFill="1" applyBorder="1" applyAlignment="1">
      <alignment horizontal="right" vertical="center" wrapText="1"/>
    </xf>
    <xf numFmtId="0" fontId="39" fillId="17" borderId="59" xfId="0" applyFont="1" applyFill="1" applyBorder="1" applyAlignment="1">
      <alignment horizontal="right" vertical="center" wrapText="1"/>
    </xf>
    <xf numFmtId="167" fontId="59" fillId="15" borderId="76" xfId="0" applyNumberFormat="1" applyFont="1" applyFill="1" applyBorder="1" applyAlignment="1">
      <alignment horizontal="center" vertical="center" wrapText="1"/>
    </xf>
    <xf numFmtId="167" fontId="59" fillId="15" borderId="77" xfId="0" applyNumberFormat="1" applyFont="1" applyFill="1" applyBorder="1" applyAlignment="1">
      <alignment horizontal="center" vertical="center" wrapText="1"/>
    </xf>
    <xf numFmtId="167" fontId="59" fillId="15" borderId="19" xfId="0" applyNumberFormat="1" applyFont="1" applyFill="1" applyBorder="1" applyAlignment="1">
      <alignment horizontal="center" vertical="center" wrapText="1"/>
    </xf>
    <xf numFmtId="167" fontId="59" fillId="15" borderId="20" xfId="0" applyNumberFormat="1" applyFont="1" applyFill="1" applyBorder="1" applyAlignment="1">
      <alignment horizontal="center" vertical="center" wrapText="1"/>
    </xf>
    <xf numFmtId="167" fontId="59" fillId="15" borderId="21" xfId="0" applyNumberFormat="1" applyFont="1" applyFill="1" applyBorder="1" applyAlignment="1">
      <alignment horizontal="center" vertical="center" wrapText="1"/>
    </xf>
    <xf numFmtId="167" fontId="59" fillId="15" borderId="22" xfId="0" applyNumberFormat="1" applyFont="1" applyFill="1" applyBorder="1" applyAlignment="1">
      <alignment horizontal="center" vertical="center" wrapText="1"/>
    </xf>
    <xf numFmtId="167" fontId="59" fillId="15" borderId="78" xfId="0" applyNumberFormat="1" applyFont="1" applyFill="1" applyBorder="1" applyAlignment="1">
      <alignment horizontal="center" vertical="center" wrapText="1"/>
    </xf>
    <xf numFmtId="167" fontId="59" fillId="15" borderId="0" xfId="0" applyNumberFormat="1" applyFont="1" applyFill="1" applyBorder="1" applyAlignment="1">
      <alignment horizontal="center" vertical="center" wrapText="1"/>
    </xf>
    <xf numFmtId="42" fontId="59" fillId="15" borderId="76" xfId="72" applyFont="1" applyFill="1" applyBorder="1" applyAlignment="1">
      <alignment horizontal="center" vertical="center" wrapText="1"/>
    </xf>
    <xf numFmtId="42" fontId="59" fillId="15" borderId="77" xfId="72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left"/>
    </xf>
    <xf numFmtId="0" fontId="49" fillId="0" borderId="35" xfId="0" applyFont="1" applyBorder="1" applyAlignment="1" applyProtection="1">
      <alignment horizontal="center" vertical="center" wrapText="1"/>
      <protection hidden="1"/>
    </xf>
    <xf numFmtId="0" fontId="49" fillId="0" borderId="5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32" xfId="0" applyBorder="1" applyAlignment="1">
      <alignment horizontal="center"/>
    </xf>
    <xf numFmtId="0" fontId="15" fillId="14" borderId="15" xfId="89" applyFont="1" applyFill="1" applyBorder="1" applyAlignment="1" applyProtection="1">
      <alignment horizontal="left" vertical="center"/>
      <protection locked="0"/>
    </xf>
    <xf numFmtId="0" fontId="16" fillId="14" borderId="0" xfId="89" applyFont="1" applyFill="1" applyAlignment="1" applyProtection="1">
      <alignment horizontal="left" vertical="center" wrapText="1"/>
      <protection locked="0"/>
    </xf>
    <xf numFmtId="0" fontId="16" fillId="14" borderId="0" xfId="89" applyFont="1" applyFill="1" applyAlignment="1" applyProtection="1">
      <alignment horizontal="left" vertical="center"/>
      <protection locked="0"/>
    </xf>
    <xf numFmtId="0" fontId="15" fillId="14" borderId="0" xfId="89" applyFont="1" applyFill="1" applyAlignment="1" applyProtection="1">
      <alignment horizontal="left" vertical="center"/>
      <protection locked="0"/>
    </xf>
    <xf numFmtId="15" fontId="16" fillId="14" borderId="0" xfId="89" applyNumberFormat="1" applyFont="1" applyFill="1" applyAlignment="1" applyProtection="1">
      <alignment horizontal="left" vertical="center" wrapText="1"/>
      <protection locked="0"/>
    </xf>
    <xf numFmtId="15" fontId="14" fillId="14" borderId="0" xfId="89" applyNumberFormat="1" applyFont="1" applyFill="1" applyBorder="1" applyAlignment="1" applyProtection="1">
      <alignment vertical="center"/>
      <protection locked="0"/>
    </xf>
  </cellXfs>
  <cellStyles count="108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22" workbookViewId="0">
      <selection activeCell="H9" sqref="H9"/>
    </sheetView>
  </sheetViews>
  <sheetFormatPr baseColWidth="10" defaultRowHeight="12.75"/>
  <cols>
    <col min="1" max="1" width="3.140625" style="204" customWidth="1"/>
    <col min="2" max="2" width="34.5703125" style="204" customWidth="1"/>
    <col min="3" max="3" width="15.140625" style="204" customWidth="1"/>
    <col min="4" max="4" width="23.42578125" style="204" customWidth="1"/>
    <col min="5" max="5" width="7" style="204" customWidth="1"/>
    <col min="6" max="6" width="31.5703125" style="204" customWidth="1"/>
    <col min="7" max="16384" width="11.42578125" style="204"/>
  </cols>
  <sheetData>
    <row r="1" spans="1:10" s="1" customFormat="1" ht="6.75" customHeight="1">
      <c r="A1" s="195"/>
      <c r="B1" s="388"/>
      <c r="C1" s="389"/>
      <c r="D1" s="389"/>
      <c r="E1" s="389"/>
      <c r="F1" s="389"/>
      <c r="G1" s="3"/>
    </row>
    <row r="2" spans="1:10" s="1" customFormat="1" ht="23.25" customHeight="1">
      <c r="A2" s="196"/>
      <c r="B2" s="390" t="s">
        <v>4</v>
      </c>
      <c r="C2" s="391"/>
      <c r="D2" s="391"/>
      <c r="E2" s="391"/>
      <c r="F2" s="391"/>
      <c r="G2" s="3"/>
    </row>
    <row r="3" spans="1:10" s="1" customFormat="1" ht="18.75" customHeight="1">
      <c r="A3" s="196"/>
      <c r="B3" s="392" t="s">
        <v>283</v>
      </c>
      <c r="C3" s="393"/>
      <c r="D3" s="393"/>
      <c r="E3" s="393"/>
      <c r="F3" s="393"/>
      <c r="G3" s="3"/>
    </row>
    <row r="4" spans="1:10" s="1" customFormat="1" ht="6.75" customHeight="1">
      <c r="A4" s="20"/>
      <c r="B4" s="394"/>
      <c r="C4" s="395"/>
      <c r="D4" s="395"/>
      <c r="E4" s="395"/>
      <c r="F4" s="395"/>
      <c r="G4" s="3"/>
    </row>
    <row r="5" spans="1:10" s="1" customFormat="1" ht="6" customHeight="1" thickBot="1">
      <c r="A5" s="196"/>
      <c r="B5" s="396"/>
      <c r="C5" s="389"/>
      <c r="D5" s="389"/>
      <c r="E5" s="389"/>
      <c r="F5" s="389"/>
      <c r="G5" s="3"/>
    </row>
    <row r="6" spans="1:10" s="56" customFormat="1" ht="25.5" customHeight="1" thickBot="1">
      <c r="B6" s="197" t="s">
        <v>12</v>
      </c>
      <c r="C6" s="397" t="s">
        <v>284</v>
      </c>
      <c r="D6" s="398"/>
      <c r="E6" s="198" t="s">
        <v>114</v>
      </c>
      <c r="F6" s="264" t="s">
        <v>285</v>
      </c>
    </row>
    <row r="7" spans="1:10" s="202" customFormat="1" ht="13.5" thickBot="1">
      <c r="A7" s="199"/>
      <c r="B7" s="200"/>
      <c r="C7" s="200"/>
      <c r="D7" s="200"/>
      <c r="E7" s="201"/>
      <c r="F7" s="201"/>
      <c r="G7" s="199"/>
    </row>
    <row r="8" spans="1:10" s="202" customFormat="1" ht="16.5" customHeight="1" thickBot="1">
      <c r="B8" s="399" t="s">
        <v>1</v>
      </c>
      <c r="C8" s="400"/>
      <c r="D8" s="400"/>
      <c r="E8" s="400"/>
      <c r="F8" s="401"/>
    </row>
    <row r="9" spans="1:10" s="202" customFormat="1" ht="16.5" customHeight="1" thickBot="1">
      <c r="B9" s="203" t="s">
        <v>144</v>
      </c>
      <c r="C9" s="399" t="str">
        <f>+VLOOKUP(B12,Listas!$B$7:$D$98,3,FALSE)</f>
        <v>AREAS DE BIENESTAR</v>
      </c>
      <c r="D9" s="400"/>
      <c r="E9" s="400"/>
      <c r="F9" s="401"/>
    </row>
    <row r="10" spans="1:10" s="202" customFormat="1" ht="13.5" thickBot="1">
      <c r="B10" s="203" t="s">
        <v>8</v>
      </c>
      <c r="C10" s="203"/>
      <c r="D10" s="399" t="s">
        <v>9</v>
      </c>
      <c r="E10" s="401"/>
      <c r="F10" s="203"/>
    </row>
    <row r="11" spans="1:10" s="202" customFormat="1" ht="16.5" customHeight="1" thickBot="1">
      <c r="B11" s="399" t="s">
        <v>205</v>
      </c>
      <c r="C11" s="400"/>
      <c r="D11" s="401"/>
      <c r="E11" s="399" t="s">
        <v>7</v>
      </c>
      <c r="F11" s="401"/>
    </row>
    <row r="12" spans="1:10" s="56" customFormat="1" ht="16.5" customHeight="1">
      <c r="B12" s="404" t="s">
        <v>396</v>
      </c>
      <c r="C12" s="405"/>
      <c r="D12" s="406"/>
      <c r="E12" s="416" t="str">
        <f>+VLOOKUP($B$12,Listas!$B$8:$C$98,2,FALSE)</f>
        <v>89010105</v>
      </c>
      <c r="F12" s="417"/>
    </row>
    <row r="13" spans="1:10" s="56" customFormat="1" ht="16.5" customHeight="1" thickBot="1">
      <c r="B13" s="407"/>
      <c r="C13" s="408"/>
      <c r="D13" s="409"/>
      <c r="E13" s="418"/>
      <c r="F13" s="419"/>
      <c r="G13" s="204"/>
      <c r="H13" s="204"/>
      <c r="I13" s="204"/>
      <c r="J13" s="204"/>
    </row>
    <row r="14" spans="1:10" ht="13.5" thickBot="1">
      <c r="B14" s="205"/>
      <c r="C14" s="206"/>
      <c r="D14" s="207"/>
      <c r="E14" s="206"/>
      <c r="F14" s="208"/>
    </row>
    <row r="15" spans="1:10" s="209" customFormat="1" ht="13.5" thickBot="1">
      <c r="B15" s="413" t="s">
        <v>143</v>
      </c>
      <c r="C15" s="414"/>
      <c r="D15" s="414"/>
      <c r="E15" s="415"/>
      <c r="F15" s="210" t="s">
        <v>251</v>
      </c>
      <c r="G15" s="204"/>
      <c r="H15" s="204"/>
      <c r="I15" s="204"/>
      <c r="J15" s="204"/>
    </row>
    <row r="16" spans="1:10" ht="13.5" thickBot="1">
      <c r="B16" s="211" t="s">
        <v>140</v>
      </c>
      <c r="C16" s="212"/>
      <c r="D16" s="213"/>
      <c r="E16" s="214"/>
      <c r="F16" s="215"/>
    </row>
    <row r="17" spans="2:7">
      <c r="B17" s="216" t="s">
        <v>136</v>
      </c>
      <c r="C17" s="217"/>
      <c r="D17" s="218"/>
      <c r="E17" s="219"/>
      <c r="F17" s="294">
        <f>+INGRESOS!L27</f>
        <v>0</v>
      </c>
    </row>
    <row r="18" spans="2:7">
      <c r="B18" s="220" t="s">
        <v>137</v>
      </c>
      <c r="C18" s="221"/>
      <c r="D18" s="222"/>
      <c r="E18" s="223"/>
      <c r="F18" s="295">
        <f>+INGRESOS!L28</f>
        <v>0</v>
      </c>
    </row>
    <row r="19" spans="2:7" hidden="1">
      <c r="B19" s="225" t="s">
        <v>138</v>
      </c>
      <c r="C19" s="226"/>
      <c r="D19" s="227"/>
      <c r="E19" s="224"/>
      <c r="F19" s="224"/>
    </row>
    <row r="20" spans="2:7" hidden="1">
      <c r="B20" s="225" t="s">
        <v>139</v>
      </c>
      <c r="C20" s="226"/>
      <c r="D20" s="227"/>
      <c r="E20" s="224"/>
      <c r="F20" s="224"/>
    </row>
    <row r="21" spans="2:7" hidden="1">
      <c r="B21" s="220" t="s">
        <v>270</v>
      </c>
      <c r="C21" s="226"/>
      <c r="D21" s="227"/>
      <c r="E21" s="224"/>
      <c r="F21" s="224"/>
    </row>
    <row r="22" spans="2:7">
      <c r="B22" s="228" t="s">
        <v>134</v>
      </c>
      <c r="C22" s="226"/>
      <c r="D22" s="227"/>
      <c r="E22" s="224"/>
      <c r="F22" s="295">
        <f>+INGRESOS!L65</f>
        <v>0</v>
      </c>
    </row>
    <row r="23" spans="2:7">
      <c r="B23" s="220" t="s">
        <v>54</v>
      </c>
      <c r="C23" s="226"/>
      <c r="D23" s="227"/>
      <c r="E23" s="224"/>
      <c r="F23" s="295">
        <f>+INGRESOS!L76</f>
        <v>0</v>
      </c>
    </row>
    <row r="24" spans="2:7">
      <c r="B24" s="220" t="s">
        <v>135</v>
      </c>
      <c r="C24" s="226"/>
      <c r="D24" s="227"/>
      <c r="E24" s="224"/>
      <c r="F24" s="295">
        <f>+INGRESOS!L77</f>
        <v>0</v>
      </c>
    </row>
    <row r="25" spans="2:7">
      <c r="B25" s="229" t="s">
        <v>274</v>
      </c>
      <c r="C25" s="226"/>
      <c r="D25" s="227"/>
      <c r="E25" s="224"/>
      <c r="F25" s="295">
        <f>+INGRESOS!F103</f>
        <v>0</v>
      </c>
    </row>
    <row r="26" spans="2:7" ht="13.5" thickBot="1">
      <c r="B26" s="230" t="s">
        <v>273</v>
      </c>
      <c r="C26" s="231"/>
      <c r="D26" s="232"/>
      <c r="E26" s="233"/>
      <c r="F26" s="296">
        <f>+INGRESOS!L103</f>
        <v>0</v>
      </c>
    </row>
    <row r="27" spans="2:7" ht="13.5" thickBot="1">
      <c r="B27" s="234" t="s">
        <v>133</v>
      </c>
      <c r="C27" s="235"/>
      <c r="D27" s="235"/>
      <c r="E27" s="236"/>
      <c r="F27" s="297">
        <f>+SUM(F17:F26)</f>
        <v>0</v>
      </c>
      <c r="G27" s="298">
        <f>+F27-INGRESOS!L105</f>
        <v>0</v>
      </c>
    </row>
    <row r="28" spans="2:7" ht="13.5" thickBot="1">
      <c r="B28" s="211"/>
      <c r="C28" s="212"/>
      <c r="D28" s="213"/>
      <c r="E28" s="214"/>
      <c r="F28" s="215"/>
    </row>
    <row r="29" spans="2:7">
      <c r="B29" s="410" t="s">
        <v>271</v>
      </c>
      <c r="C29" s="411"/>
      <c r="D29" s="411"/>
      <c r="E29" s="412"/>
      <c r="F29" s="300"/>
    </row>
    <row r="30" spans="2:7">
      <c r="B30" s="240" t="s">
        <v>272</v>
      </c>
      <c r="C30" s="237"/>
      <c r="D30" s="238"/>
      <c r="E30" s="299">
        <v>0.2</v>
      </c>
      <c r="F30" s="300">
        <f>+MROUND(F27*E30,1000)</f>
        <v>0</v>
      </c>
    </row>
    <row r="31" spans="2:7">
      <c r="B31" s="240" t="s">
        <v>281</v>
      </c>
      <c r="C31" s="237"/>
      <c r="D31" s="238"/>
      <c r="E31" s="239"/>
      <c r="F31" s="300"/>
    </row>
    <row r="32" spans="2:7" ht="13.5" thickBot="1">
      <c r="B32" s="240" t="s">
        <v>282</v>
      </c>
      <c r="C32" s="237"/>
      <c r="D32" s="238"/>
      <c r="E32" s="239"/>
      <c r="F32" s="300"/>
    </row>
    <row r="33" spans="2:6" ht="13.5" thickBot="1">
      <c r="B33" s="234" t="s">
        <v>142</v>
      </c>
      <c r="C33" s="235"/>
      <c r="D33" s="235"/>
      <c r="E33" s="236"/>
      <c r="F33" s="301">
        <f>+SUM(F29:F32)</f>
        <v>0</v>
      </c>
    </row>
    <row r="34" spans="2:6" ht="13.5" thickBot="1">
      <c r="B34" s="245"/>
      <c r="C34" s="241"/>
      <c r="D34" s="242"/>
      <c r="E34" s="243"/>
      <c r="F34" s="244"/>
    </row>
    <row r="35" spans="2:6" ht="13.5" thickBot="1">
      <c r="B35" s="246" t="s">
        <v>141</v>
      </c>
      <c r="C35" s="247"/>
      <c r="D35" s="248"/>
      <c r="E35" s="249"/>
      <c r="F35" s="302">
        <f>+F27-F33</f>
        <v>0</v>
      </c>
    </row>
    <row r="37" spans="2:6" ht="13.5" thickBot="1"/>
    <row r="38" spans="2:6" ht="9" customHeight="1" thickBot="1">
      <c r="B38" s="250"/>
      <c r="C38" s="251"/>
      <c r="D38" s="252"/>
      <c r="E38" s="250"/>
      <c r="F38" s="253"/>
    </row>
    <row r="39" spans="2:6" s="254" customFormat="1">
      <c r="B39" s="255" t="s">
        <v>10</v>
      </c>
      <c r="C39" s="402" t="s">
        <v>131</v>
      </c>
      <c r="D39" s="403"/>
      <c r="E39" s="402" t="s">
        <v>132</v>
      </c>
      <c r="F39" s="403"/>
    </row>
    <row r="40" spans="2:6">
      <c r="B40" s="256" t="s">
        <v>233</v>
      </c>
      <c r="C40" s="256" t="s">
        <v>233</v>
      </c>
      <c r="D40" s="257"/>
      <c r="E40" s="256" t="s">
        <v>233</v>
      </c>
      <c r="F40" s="258" t="s">
        <v>442</v>
      </c>
    </row>
    <row r="41" spans="2:6">
      <c r="B41" s="259" t="s">
        <v>234</v>
      </c>
      <c r="C41" s="259" t="s">
        <v>234</v>
      </c>
      <c r="D41" s="257"/>
      <c r="E41" s="259" t="s">
        <v>246</v>
      </c>
      <c r="F41" s="258" t="s">
        <v>443</v>
      </c>
    </row>
    <row r="42" spans="2:6">
      <c r="B42" s="259" t="s">
        <v>237</v>
      </c>
      <c r="C42" s="259" t="s">
        <v>235</v>
      </c>
      <c r="D42" s="257"/>
      <c r="E42" s="259" t="s">
        <v>237</v>
      </c>
      <c r="F42" s="258"/>
    </row>
    <row r="43" spans="2:6" ht="10.5" customHeight="1" thickBot="1">
      <c r="B43" s="260"/>
      <c r="C43" s="261"/>
      <c r="D43" s="262"/>
      <c r="E43" s="260"/>
      <c r="F43" s="263"/>
    </row>
    <row r="48" spans="2:6">
      <c r="B48" s="204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2" customWidth="1"/>
    <col min="2" max="2" width="17.85546875" style="62" customWidth="1"/>
    <col min="3" max="3" width="14.28515625" style="62" customWidth="1"/>
    <col min="4" max="4" width="17.140625" style="62" customWidth="1"/>
    <col min="5" max="5" width="20.140625" style="62" customWidth="1"/>
    <col min="6" max="6" width="13.5703125" style="62" customWidth="1"/>
    <col min="7" max="7" width="15" style="62" customWidth="1"/>
    <col min="8" max="8" width="16.42578125" style="62" customWidth="1"/>
    <col min="9" max="9" width="15" style="62" customWidth="1"/>
    <col min="10" max="10" width="14.42578125" style="62" customWidth="1"/>
    <col min="11" max="11" width="16.42578125" style="62" customWidth="1"/>
    <col min="12" max="12" width="21.28515625" style="62" customWidth="1"/>
    <col min="13" max="16384" width="11.42578125" style="62"/>
  </cols>
  <sheetData>
    <row r="1" spans="1:13" s="39" customFormat="1" ht="20.25" customHeight="1">
      <c r="A1" s="448"/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0"/>
    </row>
    <row r="2" spans="1:13" s="39" customFormat="1" ht="23.25" customHeight="1">
      <c r="A2" s="458" t="s">
        <v>4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0"/>
    </row>
    <row r="3" spans="1:13" s="39" customFormat="1" ht="23.25" customHeight="1">
      <c r="A3" s="460" t="s">
        <v>113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0"/>
    </row>
    <row r="4" spans="1:13" s="39" customFormat="1" ht="10.5" customHeight="1">
      <c r="A4" s="455"/>
      <c r="B4" s="456"/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0"/>
    </row>
    <row r="5" spans="1:13" s="39" customFormat="1" ht="10.5" customHeight="1" thickBot="1">
      <c r="A5" s="457"/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0"/>
    </row>
    <row r="6" spans="1:13" s="7" customFormat="1" ht="25.5" customHeight="1" thickBot="1">
      <c r="A6" s="43" t="s">
        <v>12</v>
      </c>
      <c r="B6" s="450" t="str">
        <f>+TOTAL!C6</f>
        <v>PEREIRA</v>
      </c>
      <c r="C6" s="451"/>
      <c r="D6" s="451"/>
      <c r="E6" s="451"/>
      <c r="F6" s="451"/>
      <c r="G6" s="451"/>
      <c r="H6" s="451"/>
      <c r="I6" s="452"/>
      <c r="J6" s="43" t="s">
        <v>114</v>
      </c>
      <c r="K6" s="422" t="str">
        <f>+TOTAL!F6</f>
        <v>2020</v>
      </c>
      <c r="L6" s="423"/>
    </row>
    <row r="7" spans="1:13" s="55" customFormat="1" ht="13.5" thickBot="1">
      <c r="A7" s="52"/>
      <c r="B7" s="52"/>
      <c r="C7" s="52"/>
      <c r="D7" s="53"/>
      <c r="E7" s="52"/>
      <c r="F7" s="52"/>
      <c r="G7" s="54"/>
      <c r="H7" s="54"/>
      <c r="I7" s="52"/>
      <c r="J7" s="54"/>
      <c r="K7" s="54"/>
      <c r="L7" s="54"/>
    </row>
    <row r="8" spans="1:13" s="56" customFormat="1" ht="16.5" customHeight="1" thickBot="1">
      <c r="A8" s="450" t="s">
        <v>1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2"/>
    </row>
    <row r="9" spans="1:13" s="56" customFormat="1" ht="16.5" customHeight="1" thickBot="1">
      <c r="A9" s="450" t="s">
        <v>2</v>
      </c>
      <c r="B9" s="451"/>
      <c r="C9" s="451"/>
      <c r="D9" s="451"/>
      <c r="E9" s="451"/>
      <c r="F9" s="451"/>
      <c r="G9" s="451"/>
      <c r="H9" s="451"/>
      <c r="I9" s="452"/>
      <c r="J9" s="450" t="s">
        <v>13</v>
      </c>
      <c r="K9" s="451"/>
      <c r="L9" s="452"/>
    </row>
    <row r="10" spans="1:13" s="56" customFormat="1" ht="15.75" customHeight="1">
      <c r="A10" s="476" t="str">
        <f>+TOTAL!B12</f>
        <v>Area de Recreación y Deporte</v>
      </c>
      <c r="B10" s="477"/>
      <c r="C10" s="477"/>
      <c r="D10" s="477"/>
      <c r="E10" s="477"/>
      <c r="F10" s="477"/>
      <c r="G10" s="477"/>
      <c r="H10" s="477"/>
      <c r="I10" s="478"/>
      <c r="J10" s="476" t="str">
        <f>+TOTAL!E12</f>
        <v>89010105</v>
      </c>
      <c r="K10" s="477"/>
      <c r="L10" s="478"/>
    </row>
    <row r="11" spans="1:13" s="56" customFormat="1" ht="15.75" customHeight="1" thickBot="1">
      <c r="A11" s="479"/>
      <c r="B11" s="480"/>
      <c r="C11" s="480"/>
      <c r="D11" s="480"/>
      <c r="E11" s="480"/>
      <c r="F11" s="480"/>
      <c r="G11" s="480"/>
      <c r="H11" s="480"/>
      <c r="I11" s="481"/>
      <c r="J11" s="479"/>
      <c r="K11" s="480"/>
      <c r="L11" s="481"/>
    </row>
    <row r="12" spans="1:13" s="56" customFormat="1" ht="14.25" customHeight="1" thickBot="1">
      <c r="A12" s="57"/>
      <c r="B12" s="58"/>
      <c r="C12" s="58"/>
      <c r="D12" s="59"/>
      <c r="E12" s="59"/>
      <c r="F12" s="60"/>
      <c r="G12" s="60"/>
      <c r="H12" s="60"/>
      <c r="I12" s="60"/>
      <c r="J12" s="60"/>
      <c r="K12" s="60"/>
      <c r="L12" s="61"/>
    </row>
    <row r="13" spans="1:13" ht="35.25" customHeight="1" thickBot="1">
      <c r="A13" s="462" t="s">
        <v>84</v>
      </c>
      <c r="B13" s="463"/>
      <c r="C13" s="463"/>
      <c r="D13" s="463"/>
      <c r="E13" s="463"/>
      <c r="F13" s="463"/>
      <c r="G13" s="463"/>
      <c r="H13" s="463"/>
      <c r="I13" s="463"/>
      <c r="J13" s="463"/>
      <c r="K13" s="463"/>
      <c r="L13" s="464"/>
    </row>
    <row r="14" spans="1:13" ht="31.5" customHeight="1">
      <c r="A14" s="429" t="s">
        <v>82</v>
      </c>
      <c r="B14" s="431" t="s">
        <v>83</v>
      </c>
      <c r="C14" s="431"/>
      <c r="D14" s="431"/>
      <c r="E14" s="431" t="s">
        <v>81</v>
      </c>
      <c r="F14" s="431"/>
      <c r="G14" s="431"/>
      <c r="H14" s="431" t="s">
        <v>87</v>
      </c>
      <c r="I14" s="431"/>
      <c r="J14" s="439" t="s">
        <v>93</v>
      </c>
      <c r="K14" s="453"/>
      <c r="L14" s="454"/>
    </row>
    <row r="15" spans="1:13" s="66" customFormat="1" ht="16.5" customHeight="1" thickBot="1">
      <c r="A15" s="430"/>
      <c r="B15" s="63" t="s">
        <v>14</v>
      </c>
      <c r="C15" s="63" t="s">
        <v>15</v>
      </c>
      <c r="D15" s="63" t="s">
        <v>16</v>
      </c>
      <c r="E15" s="63" t="s">
        <v>14</v>
      </c>
      <c r="F15" s="63" t="s">
        <v>15</v>
      </c>
      <c r="G15" s="63" t="s">
        <v>16</v>
      </c>
      <c r="H15" s="63" t="s">
        <v>14</v>
      </c>
      <c r="I15" s="63" t="s">
        <v>15</v>
      </c>
      <c r="J15" s="64" t="s">
        <v>14</v>
      </c>
      <c r="K15" s="63" t="s">
        <v>15</v>
      </c>
      <c r="L15" s="65" t="s">
        <v>16</v>
      </c>
    </row>
    <row r="16" spans="1:13">
      <c r="A16" s="67" t="s">
        <v>21</v>
      </c>
      <c r="B16" s="68"/>
      <c r="C16" s="68"/>
      <c r="D16" s="69"/>
      <c r="E16" s="68"/>
      <c r="F16" s="68"/>
      <c r="G16" s="69"/>
      <c r="H16" s="69"/>
      <c r="I16" s="68"/>
      <c r="J16" s="70"/>
      <c r="K16" s="71"/>
      <c r="L16" s="72"/>
    </row>
    <row r="17" spans="1:12">
      <c r="A17" s="73" t="s">
        <v>22</v>
      </c>
      <c r="B17" s="74"/>
      <c r="C17" s="74"/>
      <c r="D17" s="75"/>
      <c r="E17" s="74"/>
      <c r="F17" s="74"/>
      <c r="G17" s="75"/>
      <c r="H17" s="75"/>
      <c r="I17" s="74"/>
      <c r="J17" s="70"/>
      <c r="K17" s="69"/>
      <c r="L17" s="72"/>
    </row>
    <row r="18" spans="1:12">
      <c r="A18" s="73" t="s">
        <v>23</v>
      </c>
      <c r="B18" s="74"/>
      <c r="C18" s="74"/>
      <c r="D18" s="75"/>
      <c r="E18" s="74"/>
      <c r="F18" s="74"/>
      <c r="G18" s="75"/>
      <c r="H18" s="75"/>
      <c r="I18" s="74"/>
      <c r="J18" s="70"/>
      <c r="K18" s="69"/>
      <c r="L18" s="72"/>
    </row>
    <row r="19" spans="1:12">
      <c r="A19" s="73" t="s">
        <v>24</v>
      </c>
      <c r="B19" s="74"/>
      <c r="C19" s="74"/>
      <c r="D19" s="75"/>
      <c r="E19" s="74"/>
      <c r="F19" s="74"/>
      <c r="G19" s="75"/>
      <c r="H19" s="75"/>
      <c r="I19" s="74"/>
      <c r="J19" s="70"/>
      <c r="K19" s="69"/>
      <c r="L19" s="72"/>
    </row>
    <row r="20" spans="1:12">
      <c r="A20" s="73" t="s">
        <v>25</v>
      </c>
      <c r="B20" s="74"/>
      <c r="C20" s="74"/>
      <c r="D20" s="75"/>
      <c r="E20" s="74"/>
      <c r="F20" s="74"/>
      <c r="G20" s="75"/>
      <c r="H20" s="75"/>
      <c r="I20" s="74"/>
      <c r="J20" s="70"/>
      <c r="K20" s="69"/>
      <c r="L20" s="72"/>
    </row>
    <row r="21" spans="1:12">
      <c r="A21" s="73" t="s">
        <v>26</v>
      </c>
      <c r="B21" s="74"/>
      <c r="C21" s="74"/>
      <c r="D21" s="75"/>
      <c r="E21" s="74"/>
      <c r="F21" s="74"/>
      <c r="G21" s="75"/>
      <c r="H21" s="75"/>
      <c r="I21" s="74"/>
      <c r="J21" s="70"/>
      <c r="K21" s="69"/>
      <c r="L21" s="72"/>
    </row>
    <row r="22" spans="1:12">
      <c r="A22" s="73" t="s">
        <v>32</v>
      </c>
      <c r="B22" s="74"/>
      <c r="C22" s="74"/>
      <c r="D22" s="75"/>
      <c r="E22" s="74"/>
      <c r="F22" s="74"/>
      <c r="G22" s="75"/>
      <c r="H22" s="75"/>
      <c r="I22" s="74"/>
      <c r="J22" s="70"/>
      <c r="K22" s="69"/>
      <c r="L22" s="72"/>
    </row>
    <row r="23" spans="1:12">
      <c r="A23" s="73" t="s">
        <v>28</v>
      </c>
      <c r="B23" s="74"/>
      <c r="C23" s="74"/>
      <c r="D23" s="75"/>
      <c r="E23" s="74"/>
      <c r="F23" s="74"/>
      <c r="G23" s="75"/>
      <c r="H23" s="75"/>
      <c r="I23" s="74"/>
      <c r="J23" s="70"/>
      <c r="K23" s="69"/>
      <c r="L23" s="72"/>
    </row>
    <row r="24" spans="1:12">
      <c r="A24" s="73" t="s">
        <v>29</v>
      </c>
      <c r="B24" s="74"/>
      <c r="C24" s="74"/>
      <c r="D24" s="75"/>
      <c r="E24" s="74"/>
      <c r="F24" s="74"/>
      <c r="G24" s="75"/>
      <c r="H24" s="75"/>
      <c r="I24" s="74"/>
      <c r="J24" s="70"/>
      <c r="K24" s="69"/>
      <c r="L24" s="72"/>
    </row>
    <row r="25" spans="1:12">
      <c r="A25" s="73" t="s">
        <v>33</v>
      </c>
      <c r="B25" s="74"/>
      <c r="C25" s="74"/>
      <c r="D25" s="75"/>
      <c r="E25" s="74"/>
      <c r="F25" s="74"/>
      <c r="G25" s="75"/>
      <c r="H25" s="75"/>
      <c r="I25" s="74"/>
      <c r="J25" s="70"/>
      <c r="K25" s="69"/>
      <c r="L25" s="72"/>
    </row>
    <row r="26" spans="1:12" ht="13.5" thickBot="1">
      <c r="A26" s="76" t="s">
        <v>31</v>
      </c>
      <c r="B26" s="77"/>
      <c r="C26" s="77"/>
      <c r="D26" s="78"/>
      <c r="E26" s="77"/>
      <c r="F26" s="77"/>
      <c r="G26" s="78"/>
      <c r="H26" s="78"/>
      <c r="I26" s="77"/>
      <c r="J26" s="70"/>
      <c r="K26" s="69"/>
      <c r="L26" s="72"/>
    </row>
    <row r="27" spans="1:12" ht="13.5" thickBot="1">
      <c r="A27" s="79" t="s">
        <v>128</v>
      </c>
      <c r="B27" s="80"/>
      <c r="C27" s="81"/>
      <c r="D27" s="80"/>
      <c r="E27" s="80"/>
      <c r="F27" s="80"/>
      <c r="G27" s="80"/>
      <c r="H27" s="80"/>
      <c r="I27" s="80"/>
      <c r="J27" s="80"/>
      <c r="K27" s="80"/>
      <c r="L27" s="82">
        <f>SUM(L16:L26)</f>
        <v>0</v>
      </c>
    </row>
    <row r="28" spans="1:12" ht="15.75" customHeight="1" thickBot="1">
      <c r="A28" s="79" t="s">
        <v>129</v>
      </c>
      <c r="B28" s="80"/>
      <c r="C28" s="81"/>
      <c r="D28" s="80"/>
      <c r="E28" s="80"/>
      <c r="F28" s="80"/>
      <c r="G28" s="80"/>
      <c r="H28" s="80"/>
      <c r="I28" s="80"/>
      <c r="J28" s="80"/>
      <c r="K28" s="80"/>
      <c r="L28" s="82">
        <v>0</v>
      </c>
    </row>
    <row r="29" spans="1:12" ht="16.5" customHeight="1" thickBot="1">
      <c r="A29" s="83" t="s">
        <v>128</v>
      </c>
      <c r="B29" s="84"/>
      <c r="C29" s="85"/>
      <c r="D29" s="84"/>
      <c r="E29" s="84"/>
      <c r="F29" s="84"/>
      <c r="G29" s="84"/>
      <c r="H29" s="84"/>
      <c r="I29" s="84"/>
      <c r="J29" s="84"/>
      <c r="K29" s="84"/>
      <c r="L29" s="86">
        <f>+L27+L28</f>
        <v>0</v>
      </c>
    </row>
    <row r="30" spans="1:12" ht="16.5" customHeight="1">
      <c r="A30" s="87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</row>
    <row r="31" spans="1:12" ht="13.5" thickBot="1">
      <c r="A31" s="89"/>
      <c r="B31" s="89"/>
      <c r="C31" s="89"/>
      <c r="D31" s="89"/>
      <c r="E31" s="87"/>
      <c r="F31" s="88"/>
      <c r="G31" s="88"/>
      <c r="H31" s="88"/>
      <c r="I31" s="88"/>
      <c r="J31" s="88"/>
      <c r="K31" s="88"/>
      <c r="L31" s="88"/>
    </row>
    <row r="32" spans="1:12" ht="35.25" hidden="1" customHeight="1" thickBot="1">
      <c r="A32" s="462" t="s">
        <v>85</v>
      </c>
      <c r="B32" s="463"/>
      <c r="C32" s="463"/>
      <c r="D32" s="463"/>
      <c r="E32" s="463"/>
      <c r="F32" s="463"/>
      <c r="G32" s="463"/>
      <c r="H32" s="463"/>
      <c r="I32" s="463"/>
      <c r="J32" s="463"/>
      <c r="K32" s="463"/>
      <c r="L32" s="464"/>
    </row>
    <row r="33" spans="1:12" ht="16.5" hidden="1" customHeight="1">
      <c r="A33" s="447" t="s">
        <v>100</v>
      </c>
      <c r="B33" s="437" t="s">
        <v>17</v>
      </c>
      <c r="C33" s="437"/>
      <c r="D33" s="437"/>
      <c r="E33" s="439" t="s">
        <v>34</v>
      </c>
      <c r="F33" s="440"/>
      <c r="G33" s="440"/>
      <c r="H33" s="441"/>
      <c r="I33" s="437" t="s">
        <v>88</v>
      </c>
      <c r="J33" s="465" t="s">
        <v>90</v>
      </c>
      <c r="K33" s="465" t="s">
        <v>92</v>
      </c>
      <c r="L33" s="472" t="s">
        <v>86</v>
      </c>
    </row>
    <row r="34" spans="1:12" ht="45.75" hidden="1" customHeight="1" thickBot="1">
      <c r="A34" s="430"/>
      <c r="B34" s="63" t="s">
        <v>252</v>
      </c>
      <c r="C34" s="63" t="s">
        <v>253</v>
      </c>
      <c r="D34" s="63" t="s">
        <v>94</v>
      </c>
      <c r="E34" s="63" t="s">
        <v>252</v>
      </c>
      <c r="F34" s="63" t="s">
        <v>253</v>
      </c>
      <c r="G34" s="63" t="s">
        <v>254</v>
      </c>
      <c r="H34" s="63" t="s">
        <v>89</v>
      </c>
      <c r="I34" s="436"/>
      <c r="J34" s="466"/>
      <c r="K34" s="466"/>
      <c r="L34" s="473"/>
    </row>
    <row r="35" spans="1:12" hidden="1">
      <c r="A35" s="90" t="s">
        <v>18</v>
      </c>
      <c r="B35" s="74"/>
      <c r="C35" s="74"/>
      <c r="D35" s="75"/>
      <c r="E35" s="74"/>
      <c r="F35" s="74"/>
      <c r="G35" s="75"/>
      <c r="H35" s="75"/>
      <c r="I35" s="75"/>
      <c r="J35" s="74"/>
      <c r="K35" s="74"/>
      <c r="L35" s="91"/>
    </row>
    <row r="36" spans="1:12" hidden="1">
      <c r="A36" s="90" t="s">
        <v>19</v>
      </c>
      <c r="B36" s="74"/>
      <c r="C36" s="74"/>
      <c r="D36" s="75"/>
      <c r="E36" s="74"/>
      <c r="F36" s="74"/>
      <c r="G36" s="75"/>
      <c r="H36" s="75"/>
      <c r="I36" s="75"/>
      <c r="J36" s="74"/>
      <c r="K36" s="74"/>
      <c r="L36" s="91"/>
    </row>
    <row r="37" spans="1:12" hidden="1">
      <c r="A37" s="90" t="s">
        <v>20</v>
      </c>
      <c r="B37" s="74"/>
      <c r="C37" s="74"/>
      <c r="D37" s="75"/>
      <c r="E37" s="74"/>
      <c r="F37" s="74"/>
      <c r="G37" s="75"/>
      <c r="H37" s="75"/>
      <c r="I37" s="75"/>
      <c r="J37" s="74"/>
      <c r="K37" s="74"/>
      <c r="L37" s="91"/>
    </row>
    <row r="38" spans="1:12" hidden="1">
      <c r="A38" s="90" t="s">
        <v>21</v>
      </c>
      <c r="B38" s="74"/>
      <c r="C38" s="74"/>
      <c r="D38" s="75"/>
      <c r="E38" s="74"/>
      <c r="F38" s="74"/>
      <c r="G38" s="75"/>
      <c r="H38" s="75"/>
      <c r="I38" s="75"/>
      <c r="J38" s="74"/>
      <c r="K38" s="74"/>
      <c r="L38" s="91"/>
    </row>
    <row r="39" spans="1:12" hidden="1">
      <c r="A39" s="92" t="s">
        <v>22</v>
      </c>
      <c r="B39" s="74"/>
      <c r="C39" s="74"/>
      <c r="D39" s="75"/>
      <c r="E39" s="74"/>
      <c r="F39" s="74"/>
      <c r="G39" s="75"/>
      <c r="H39" s="75"/>
      <c r="I39" s="75"/>
      <c r="J39" s="74"/>
      <c r="K39" s="74"/>
      <c r="L39" s="91"/>
    </row>
    <row r="40" spans="1:12" hidden="1">
      <c r="A40" s="92" t="s">
        <v>23</v>
      </c>
      <c r="B40" s="74"/>
      <c r="C40" s="74"/>
      <c r="D40" s="75"/>
      <c r="E40" s="74"/>
      <c r="F40" s="74"/>
      <c r="G40" s="75"/>
      <c r="H40" s="75"/>
      <c r="I40" s="75"/>
      <c r="J40" s="74"/>
      <c r="K40" s="74"/>
      <c r="L40" s="91"/>
    </row>
    <row r="41" spans="1:12" hidden="1">
      <c r="A41" s="92" t="s">
        <v>24</v>
      </c>
      <c r="B41" s="74"/>
      <c r="C41" s="74"/>
      <c r="D41" s="75"/>
      <c r="E41" s="74"/>
      <c r="F41" s="74"/>
      <c r="G41" s="75"/>
      <c r="H41" s="75"/>
      <c r="I41" s="75"/>
      <c r="J41" s="74"/>
      <c r="K41" s="74"/>
      <c r="L41" s="91"/>
    </row>
    <row r="42" spans="1:12" hidden="1">
      <c r="A42" s="92" t="s">
        <v>25</v>
      </c>
      <c r="B42" s="74"/>
      <c r="C42" s="74"/>
      <c r="D42" s="75"/>
      <c r="E42" s="74"/>
      <c r="F42" s="74"/>
      <c r="G42" s="75"/>
      <c r="H42" s="75"/>
      <c r="I42" s="75"/>
      <c r="J42" s="74"/>
      <c r="K42" s="74"/>
      <c r="L42" s="91"/>
    </row>
    <row r="43" spans="1:12" hidden="1">
      <c r="A43" s="92" t="s">
        <v>26</v>
      </c>
      <c r="B43" s="74"/>
      <c r="C43" s="74"/>
      <c r="D43" s="75"/>
      <c r="E43" s="74"/>
      <c r="F43" s="74"/>
      <c r="G43" s="75"/>
      <c r="H43" s="75"/>
      <c r="I43" s="75"/>
      <c r="J43" s="74"/>
      <c r="K43" s="74"/>
      <c r="L43" s="91"/>
    </row>
    <row r="44" spans="1:12" hidden="1">
      <c r="A44" s="92" t="s">
        <v>27</v>
      </c>
      <c r="B44" s="74"/>
      <c r="C44" s="74"/>
      <c r="D44" s="75"/>
      <c r="E44" s="74"/>
      <c r="F44" s="74"/>
      <c r="G44" s="75"/>
      <c r="H44" s="75"/>
      <c r="I44" s="75"/>
      <c r="J44" s="74"/>
      <c r="K44" s="74"/>
      <c r="L44" s="91"/>
    </row>
    <row r="45" spans="1:12" hidden="1">
      <c r="A45" s="92" t="s">
        <v>28</v>
      </c>
      <c r="B45" s="74"/>
      <c r="C45" s="74"/>
      <c r="D45" s="75"/>
      <c r="E45" s="74"/>
      <c r="F45" s="74"/>
      <c r="G45" s="75"/>
      <c r="H45" s="75"/>
      <c r="I45" s="75"/>
      <c r="J45" s="74"/>
      <c r="K45" s="74"/>
      <c r="L45" s="91"/>
    </row>
    <row r="46" spans="1:12" hidden="1">
      <c r="A46" s="92" t="s">
        <v>29</v>
      </c>
      <c r="B46" s="74"/>
      <c r="C46" s="74"/>
      <c r="D46" s="75"/>
      <c r="E46" s="74"/>
      <c r="F46" s="74"/>
      <c r="G46" s="75"/>
      <c r="H46" s="75"/>
      <c r="I46" s="75"/>
      <c r="J46" s="74"/>
      <c r="K46" s="74"/>
      <c r="L46" s="91"/>
    </row>
    <row r="47" spans="1:12" hidden="1">
      <c r="A47" s="92" t="s">
        <v>30</v>
      </c>
      <c r="B47" s="74"/>
      <c r="C47" s="74"/>
      <c r="D47" s="75"/>
      <c r="E47" s="74"/>
      <c r="F47" s="74"/>
      <c r="G47" s="75"/>
      <c r="H47" s="75"/>
      <c r="I47" s="75"/>
      <c r="J47" s="74"/>
      <c r="K47" s="74"/>
      <c r="L47" s="91"/>
    </row>
    <row r="48" spans="1:12" ht="13.5" hidden="1" thickBot="1">
      <c r="A48" s="93" t="s">
        <v>31</v>
      </c>
      <c r="B48" s="77"/>
      <c r="C48" s="77"/>
      <c r="D48" s="78"/>
      <c r="E48" s="77"/>
      <c r="F48" s="77"/>
      <c r="G48" s="78"/>
      <c r="H48" s="78"/>
      <c r="I48" s="78"/>
      <c r="J48" s="77"/>
      <c r="K48" s="77"/>
      <c r="L48" s="94"/>
    </row>
    <row r="49" spans="1:12" ht="24.75" hidden="1" customHeight="1" thickBot="1">
      <c r="A49" s="83" t="s">
        <v>91</v>
      </c>
      <c r="B49" s="280">
        <f>SUM(B35:B48)</f>
        <v>0</v>
      </c>
      <c r="C49" s="280">
        <f t="shared" ref="C49:L49" si="0">SUM(C35:C48)</f>
        <v>0</v>
      </c>
      <c r="D49" s="280">
        <f t="shared" si="0"/>
        <v>0</v>
      </c>
      <c r="E49" s="280">
        <f t="shared" si="0"/>
        <v>0</v>
      </c>
      <c r="F49" s="280">
        <f t="shared" si="0"/>
        <v>0</v>
      </c>
      <c r="G49" s="280">
        <f t="shared" si="0"/>
        <v>0</v>
      </c>
      <c r="H49" s="280">
        <f t="shared" si="0"/>
        <v>0</v>
      </c>
      <c r="I49" s="280">
        <f t="shared" si="0"/>
        <v>0</v>
      </c>
      <c r="J49" s="280">
        <f t="shared" si="0"/>
        <v>0</v>
      </c>
      <c r="K49" s="280">
        <f t="shared" si="0"/>
        <v>0</v>
      </c>
      <c r="L49" s="281">
        <f t="shared" si="0"/>
        <v>0</v>
      </c>
    </row>
    <row r="50" spans="1:12" hidden="1">
      <c r="A50" s="95"/>
      <c r="B50" s="95"/>
      <c r="C50" s="95"/>
      <c r="D50" s="95"/>
      <c r="E50" s="87"/>
      <c r="F50" s="88"/>
      <c r="G50" s="88"/>
      <c r="H50" s="88"/>
      <c r="I50" s="88"/>
      <c r="J50" s="88"/>
      <c r="K50" s="88"/>
      <c r="L50" s="88"/>
    </row>
    <row r="51" spans="1:12" ht="13.5" hidden="1" thickBot="1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</row>
    <row r="52" spans="1:12" s="97" customFormat="1" ht="15.75" thickBot="1">
      <c r="A52" s="424" t="s">
        <v>95</v>
      </c>
      <c r="B52" s="425"/>
      <c r="C52" s="425"/>
      <c r="D52" s="425"/>
      <c r="E52" s="425"/>
      <c r="F52" s="425"/>
      <c r="G52" s="425"/>
      <c r="H52" s="425"/>
      <c r="I52" s="425"/>
      <c r="J52" s="425"/>
      <c r="K52" s="425"/>
      <c r="L52" s="426"/>
    </row>
    <row r="53" spans="1:12" ht="15.75" customHeight="1">
      <c r="A53" s="467" t="s">
        <v>99</v>
      </c>
      <c r="B53" s="468"/>
      <c r="C53" s="439" t="s">
        <v>107</v>
      </c>
      <c r="D53" s="440"/>
      <c r="E53" s="441"/>
      <c r="F53" s="439" t="s">
        <v>108</v>
      </c>
      <c r="G53" s="440"/>
      <c r="H53" s="441"/>
      <c r="I53" s="439" t="s">
        <v>109</v>
      </c>
      <c r="J53" s="440"/>
      <c r="K53" s="441"/>
      <c r="L53" s="472" t="s">
        <v>111</v>
      </c>
    </row>
    <row r="54" spans="1:12" ht="34.5" customHeight="1" thickBot="1">
      <c r="A54" s="469"/>
      <c r="B54" s="471"/>
      <c r="C54" s="64" t="s">
        <v>101</v>
      </c>
      <c r="D54" s="64" t="s">
        <v>103</v>
      </c>
      <c r="E54" s="64" t="s">
        <v>104</v>
      </c>
      <c r="F54" s="64" t="s">
        <v>102</v>
      </c>
      <c r="G54" s="64" t="s">
        <v>105</v>
      </c>
      <c r="H54" s="64" t="s">
        <v>106</v>
      </c>
      <c r="I54" s="64" t="s">
        <v>102</v>
      </c>
      <c r="J54" s="64" t="s">
        <v>105</v>
      </c>
      <c r="K54" s="64" t="s">
        <v>106</v>
      </c>
      <c r="L54" s="473"/>
    </row>
    <row r="55" spans="1:12">
      <c r="A55" s="98"/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100"/>
    </row>
    <row r="56" spans="1:12">
      <c r="A56" s="101" t="s">
        <v>35</v>
      </c>
      <c r="B56" s="102"/>
      <c r="C56" s="103"/>
      <c r="D56" s="104"/>
      <c r="E56" s="105"/>
      <c r="F56" s="106"/>
      <c r="G56" s="104"/>
      <c r="H56" s="105"/>
      <c r="I56" s="106"/>
      <c r="J56" s="106"/>
      <c r="K56" s="105"/>
      <c r="L56" s="107"/>
    </row>
    <row r="57" spans="1:12">
      <c r="A57" s="101" t="s">
        <v>36</v>
      </c>
      <c r="B57" s="102"/>
      <c r="C57" s="103"/>
      <c r="D57" s="104"/>
      <c r="E57" s="105"/>
      <c r="F57" s="106"/>
      <c r="G57" s="104"/>
      <c r="H57" s="105"/>
      <c r="I57" s="106"/>
      <c r="J57" s="106"/>
      <c r="K57" s="105"/>
      <c r="L57" s="107"/>
    </row>
    <row r="58" spans="1:12">
      <c r="A58" s="101" t="s">
        <v>37</v>
      </c>
      <c r="B58" s="102"/>
      <c r="C58" s="103"/>
      <c r="D58" s="104"/>
      <c r="E58" s="105"/>
      <c r="F58" s="106"/>
      <c r="G58" s="104"/>
      <c r="H58" s="105"/>
      <c r="I58" s="106"/>
      <c r="J58" s="106"/>
      <c r="K58" s="105"/>
      <c r="L58" s="107"/>
    </row>
    <row r="59" spans="1:12">
      <c r="A59" s="101" t="s">
        <v>38</v>
      </c>
      <c r="B59" s="102"/>
      <c r="C59" s="103"/>
      <c r="D59" s="104"/>
      <c r="E59" s="105"/>
      <c r="F59" s="106"/>
      <c r="G59" s="104"/>
      <c r="H59" s="105"/>
      <c r="I59" s="106"/>
      <c r="J59" s="106"/>
      <c r="K59" s="105"/>
      <c r="L59" s="107"/>
    </row>
    <row r="60" spans="1:12">
      <c r="A60" s="101" t="s">
        <v>39</v>
      </c>
      <c r="B60" s="102"/>
      <c r="C60" s="103"/>
      <c r="D60" s="104"/>
      <c r="E60" s="105"/>
      <c r="F60" s="106"/>
      <c r="G60" s="104"/>
      <c r="H60" s="105"/>
      <c r="I60" s="106"/>
      <c r="J60" s="106"/>
      <c r="K60" s="105"/>
      <c r="L60" s="107"/>
    </row>
    <row r="61" spans="1:12">
      <c r="A61" s="101" t="s">
        <v>40</v>
      </c>
      <c r="B61" s="102"/>
      <c r="C61" s="103"/>
      <c r="D61" s="104"/>
      <c r="E61" s="105"/>
      <c r="F61" s="106"/>
      <c r="G61" s="104"/>
      <c r="H61" s="105"/>
      <c r="I61" s="106"/>
      <c r="J61" s="106"/>
      <c r="K61" s="105"/>
      <c r="L61" s="107"/>
    </row>
    <row r="62" spans="1:12">
      <c r="A62" s="101" t="s">
        <v>41</v>
      </c>
      <c r="B62" s="102"/>
      <c r="C62" s="103"/>
      <c r="D62" s="104"/>
      <c r="E62" s="105"/>
      <c r="F62" s="106"/>
      <c r="G62" s="104"/>
      <c r="H62" s="105"/>
      <c r="I62" s="106"/>
      <c r="J62" s="106"/>
      <c r="K62" s="105"/>
      <c r="L62" s="107"/>
    </row>
    <row r="63" spans="1:12">
      <c r="A63" s="101" t="s">
        <v>42</v>
      </c>
      <c r="B63" s="102"/>
      <c r="C63" s="103"/>
      <c r="D63" s="104"/>
      <c r="E63" s="105"/>
      <c r="F63" s="106"/>
      <c r="G63" s="104"/>
      <c r="H63" s="105"/>
      <c r="I63" s="106"/>
      <c r="J63" s="106"/>
      <c r="K63" s="105"/>
      <c r="L63" s="107"/>
    </row>
    <row r="64" spans="1:12" ht="13.5" thickBot="1">
      <c r="A64" s="108" t="s">
        <v>43</v>
      </c>
      <c r="B64" s="109"/>
      <c r="C64" s="110"/>
      <c r="D64" s="111"/>
      <c r="E64" s="112"/>
      <c r="F64" s="113"/>
      <c r="G64" s="111"/>
      <c r="H64" s="112"/>
      <c r="I64" s="113"/>
      <c r="J64" s="113"/>
      <c r="K64" s="112"/>
      <c r="L64" s="114"/>
    </row>
    <row r="65" spans="1:12" ht="16.5" customHeight="1" thickBot="1">
      <c r="A65" s="427" t="s">
        <v>96</v>
      </c>
      <c r="B65" s="428"/>
      <c r="C65" s="80"/>
      <c r="D65" s="80"/>
      <c r="E65" s="80"/>
      <c r="F65" s="80"/>
      <c r="G65" s="80"/>
      <c r="H65" s="80"/>
      <c r="I65" s="80"/>
      <c r="J65" s="80"/>
      <c r="K65" s="115"/>
      <c r="L65" s="82">
        <f>SUM(L56:L64)</f>
        <v>0</v>
      </c>
    </row>
    <row r="66" spans="1:12">
      <c r="A66" s="116" t="s">
        <v>44</v>
      </c>
      <c r="B66" s="117"/>
      <c r="C66" s="118"/>
      <c r="D66" s="118"/>
      <c r="E66" s="119"/>
      <c r="F66" s="120"/>
      <c r="G66" s="118"/>
      <c r="H66" s="119"/>
      <c r="I66" s="120"/>
      <c r="J66" s="120"/>
      <c r="K66" s="119"/>
      <c r="L66" s="121"/>
    </row>
    <row r="67" spans="1:12">
      <c r="A67" s="122" t="s">
        <v>45</v>
      </c>
      <c r="B67" s="123"/>
      <c r="C67" s="104"/>
      <c r="D67" s="104"/>
      <c r="E67" s="105"/>
      <c r="F67" s="106"/>
      <c r="G67" s="104"/>
      <c r="H67" s="105"/>
      <c r="I67" s="106"/>
      <c r="J67" s="106"/>
      <c r="K67" s="105"/>
      <c r="L67" s="107"/>
    </row>
    <row r="68" spans="1:12">
      <c r="A68" s="122" t="s">
        <v>46</v>
      </c>
      <c r="B68" s="123"/>
      <c r="C68" s="104"/>
      <c r="D68" s="104"/>
      <c r="E68" s="105"/>
      <c r="F68" s="106"/>
      <c r="G68" s="104"/>
      <c r="H68" s="105"/>
      <c r="I68" s="106"/>
      <c r="J68" s="106"/>
      <c r="K68" s="105"/>
      <c r="L68" s="107"/>
    </row>
    <row r="69" spans="1:12">
      <c r="A69" s="122" t="s">
        <v>47</v>
      </c>
      <c r="B69" s="123"/>
      <c r="C69" s="104"/>
      <c r="D69" s="104"/>
      <c r="E69" s="105"/>
      <c r="F69" s="106"/>
      <c r="G69" s="104"/>
      <c r="H69" s="105"/>
      <c r="I69" s="106"/>
      <c r="J69" s="106"/>
      <c r="K69" s="105"/>
      <c r="L69" s="107"/>
    </row>
    <row r="70" spans="1:12" s="124" customFormat="1">
      <c r="A70" s="122" t="s">
        <v>48</v>
      </c>
      <c r="B70" s="123"/>
      <c r="C70" s="104"/>
      <c r="D70" s="104"/>
      <c r="E70" s="105"/>
      <c r="F70" s="106"/>
      <c r="G70" s="104"/>
      <c r="H70" s="105"/>
      <c r="I70" s="106"/>
      <c r="J70" s="106"/>
      <c r="K70" s="105"/>
      <c r="L70" s="107"/>
    </row>
    <row r="71" spans="1:12">
      <c r="A71" s="122" t="s">
        <v>49</v>
      </c>
      <c r="B71" s="123"/>
      <c r="C71" s="104"/>
      <c r="D71" s="104"/>
      <c r="E71" s="105"/>
      <c r="F71" s="106"/>
      <c r="G71" s="104"/>
      <c r="H71" s="105"/>
      <c r="I71" s="106"/>
      <c r="J71" s="106"/>
      <c r="K71" s="105"/>
      <c r="L71" s="107"/>
    </row>
    <row r="72" spans="1:12">
      <c r="A72" s="122" t="s">
        <v>50</v>
      </c>
      <c r="B72" s="123"/>
      <c r="C72" s="104"/>
      <c r="D72" s="104"/>
      <c r="E72" s="105"/>
      <c r="F72" s="106"/>
      <c r="G72" s="104"/>
      <c r="H72" s="105"/>
      <c r="I72" s="106"/>
      <c r="J72" s="106"/>
      <c r="K72" s="105"/>
      <c r="L72" s="107"/>
    </row>
    <row r="73" spans="1:12">
      <c r="A73" s="122" t="s">
        <v>51</v>
      </c>
      <c r="B73" s="123"/>
      <c r="C73" s="104"/>
      <c r="D73" s="104"/>
      <c r="E73" s="105"/>
      <c r="F73" s="106"/>
      <c r="G73" s="104"/>
      <c r="H73" s="105"/>
      <c r="I73" s="106"/>
      <c r="J73" s="106"/>
      <c r="K73" s="105"/>
      <c r="L73" s="107"/>
    </row>
    <row r="74" spans="1:12">
      <c r="A74" s="122" t="s">
        <v>52</v>
      </c>
      <c r="B74" s="123"/>
      <c r="C74" s="104"/>
      <c r="D74" s="104"/>
      <c r="E74" s="105"/>
      <c r="F74" s="106"/>
      <c r="G74" s="104"/>
      <c r="H74" s="105"/>
      <c r="I74" s="106"/>
      <c r="J74" s="106"/>
      <c r="K74" s="105"/>
      <c r="L74" s="107"/>
    </row>
    <row r="75" spans="1:12" ht="13.5" thickBot="1">
      <c r="A75" s="125" t="s">
        <v>53</v>
      </c>
      <c r="B75" s="126"/>
      <c r="C75" s="111"/>
      <c r="D75" s="111"/>
      <c r="E75" s="112"/>
      <c r="F75" s="113"/>
      <c r="G75" s="111"/>
      <c r="H75" s="112"/>
      <c r="I75" s="113"/>
      <c r="J75" s="113"/>
      <c r="K75" s="112"/>
      <c r="L75" s="114"/>
    </row>
    <row r="76" spans="1:12" ht="16.5" customHeight="1" thickBot="1">
      <c r="A76" s="427" t="s">
        <v>97</v>
      </c>
      <c r="B76" s="428"/>
      <c r="C76" s="80"/>
      <c r="D76" s="80"/>
      <c r="E76" s="80"/>
      <c r="F76" s="80"/>
      <c r="G76" s="80"/>
      <c r="H76" s="80"/>
      <c r="I76" s="80"/>
      <c r="J76" s="80"/>
      <c r="K76" s="115"/>
      <c r="L76" s="82">
        <f>SUM(L66:L75)</f>
        <v>0</v>
      </c>
    </row>
    <row r="77" spans="1:12" ht="16.5" customHeight="1" thickBot="1">
      <c r="A77" s="427" t="s">
        <v>110</v>
      </c>
      <c r="B77" s="428"/>
      <c r="C77" s="80"/>
      <c r="D77" s="80"/>
      <c r="E77" s="80"/>
      <c r="F77" s="80"/>
      <c r="G77" s="80"/>
      <c r="H77" s="80"/>
      <c r="I77" s="80"/>
      <c r="J77" s="80"/>
      <c r="K77" s="115"/>
      <c r="L77" s="82">
        <v>0</v>
      </c>
    </row>
    <row r="78" spans="1:12" ht="16.5" customHeight="1" thickBot="1">
      <c r="A78" s="474" t="s">
        <v>98</v>
      </c>
      <c r="B78" s="475"/>
      <c r="C78" s="84"/>
      <c r="D78" s="84"/>
      <c r="E78" s="84"/>
      <c r="F78" s="84"/>
      <c r="G78" s="84"/>
      <c r="H78" s="84"/>
      <c r="I78" s="84"/>
      <c r="J78" s="84"/>
      <c r="K78" s="127"/>
      <c r="L78" s="86">
        <f>+L65+L76+L77</f>
        <v>0</v>
      </c>
    </row>
    <row r="79" spans="1:12" ht="16.5" customHeight="1">
      <c r="A79" s="128"/>
      <c r="B79" s="128"/>
      <c r="C79" s="128"/>
      <c r="D79" s="128"/>
      <c r="E79" s="129"/>
      <c r="F79" s="129"/>
      <c r="G79" s="129"/>
      <c r="H79" s="129"/>
      <c r="I79" s="129"/>
      <c r="J79" s="129"/>
      <c r="K79" s="129"/>
      <c r="L79" s="129"/>
    </row>
    <row r="80" spans="1:12" s="124" customFormat="1" ht="13.5" thickBot="1">
      <c r="A80" s="130"/>
      <c r="B80" s="130"/>
      <c r="C80" s="130"/>
      <c r="D80" s="130"/>
      <c r="E80" s="130"/>
      <c r="F80" s="131"/>
      <c r="G80" s="131"/>
      <c r="H80" s="131"/>
      <c r="I80" s="131"/>
      <c r="J80" s="131"/>
      <c r="K80" s="131"/>
      <c r="L80" s="131"/>
    </row>
    <row r="81" spans="1:12" ht="16.5" customHeight="1" thickBot="1">
      <c r="A81" s="413" t="s">
        <v>275</v>
      </c>
      <c r="B81" s="414"/>
      <c r="C81" s="414"/>
      <c r="D81" s="414"/>
      <c r="E81" s="414"/>
      <c r="F81" s="414"/>
      <c r="G81" s="413" t="s">
        <v>112</v>
      </c>
      <c r="H81" s="414"/>
      <c r="I81" s="414"/>
      <c r="J81" s="414"/>
      <c r="K81" s="414"/>
      <c r="L81" s="415"/>
    </row>
    <row r="82" spans="1:12" ht="15.75" customHeight="1">
      <c r="A82" s="467" t="s">
        <v>99</v>
      </c>
      <c r="B82" s="453"/>
      <c r="C82" s="468"/>
      <c r="D82" s="437" t="s">
        <v>278</v>
      </c>
      <c r="E82" s="437"/>
      <c r="F82" s="438"/>
      <c r="G82" s="429" t="s">
        <v>99</v>
      </c>
      <c r="H82" s="431"/>
      <c r="I82" s="431"/>
      <c r="J82" s="431" t="s">
        <v>279</v>
      </c>
      <c r="K82" s="431"/>
      <c r="L82" s="442"/>
    </row>
    <row r="83" spans="1:12" ht="16.5" customHeight="1" thickBot="1">
      <c r="A83" s="469"/>
      <c r="B83" s="470"/>
      <c r="C83" s="471"/>
      <c r="D83" s="63" t="s">
        <v>55</v>
      </c>
      <c r="E83" s="63" t="s">
        <v>56</v>
      </c>
      <c r="F83" s="132" t="s">
        <v>16</v>
      </c>
      <c r="G83" s="430"/>
      <c r="H83" s="436"/>
      <c r="I83" s="436"/>
      <c r="J83" s="63" t="s">
        <v>55</v>
      </c>
      <c r="K83" s="63" t="s">
        <v>56</v>
      </c>
      <c r="L83" s="132" t="s">
        <v>16</v>
      </c>
    </row>
    <row r="84" spans="1:12" ht="15" customHeight="1">
      <c r="A84" s="133" t="s">
        <v>57</v>
      </c>
      <c r="B84" s="134"/>
      <c r="C84" s="135"/>
      <c r="D84" s="136"/>
      <c r="E84" s="137"/>
      <c r="F84" s="138"/>
      <c r="G84" s="443" t="s">
        <v>115</v>
      </c>
      <c r="H84" s="444"/>
      <c r="I84" s="445"/>
      <c r="J84" s="139"/>
      <c r="K84" s="140"/>
      <c r="L84" s="141"/>
    </row>
    <row r="85" spans="1:12" ht="15" customHeight="1">
      <c r="A85" s="142" t="s">
        <v>58</v>
      </c>
      <c r="B85" s="102"/>
      <c r="C85" s="143"/>
      <c r="D85" s="144"/>
      <c r="E85" s="145"/>
      <c r="F85" s="146"/>
      <c r="G85" s="432" t="s">
        <v>116</v>
      </c>
      <c r="H85" s="433"/>
      <c r="I85" s="434"/>
      <c r="J85" s="147"/>
      <c r="K85" s="148"/>
      <c r="L85" s="149"/>
    </row>
    <row r="86" spans="1:12">
      <c r="A86" s="142" t="s">
        <v>59</v>
      </c>
      <c r="B86" s="102"/>
      <c r="C86" s="143"/>
      <c r="D86" s="144"/>
      <c r="E86" s="150"/>
      <c r="F86" s="146"/>
      <c r="G86" s="122" t="s">
        <v>117</v>
      </c>
      <c r="H86" s="151"/>
      <c r="I86" s="152"/>
      <c r="J86" s="153"/>
      <c r="K86" s="148"/>
      <c r="L86" s="149"/>
    </row>
    <row r="87" spans="1:12">
      <c r="A87" s="142" t="s">
        <v>60</v>
      </c>
      <c r="B87" s="102"/>
      <c r="C87" s="143"/>
      <c r="D87" s="144"/>
      <c r="E87" s="150"/>
      <c r="F87" s="146"/>
      <c r="G87" s="122" t="s">
        <v>118</v>
      </c>
      <c r="H87" s="151"/>
      <c r="I87" s="152"/>
      <c r="J87" s="153"/>
      <c r="K87" s="148"/>
      <c r="L87" s="149"/>
    </row>
    <row r="88" spans="1:12">
      <c r="A88" s="142" t="s">
        <v>61</v>
      </c>
      <c r="B88" s="102"/>
      <c r="C88" s="143"/>
      <c r="D88" s="144"/>
      <c r="E88" s="150"/>
      <c r="F88" s="146"/>
      <c r="G88" s="122" t="s">
        <v>119</v>
      </c>
      <c r="H88" s="151"/>
      <c r="I88" s="152"/>
      <c r="J88" s="153"/>
      <c r="K88" s="148"/>
      <c r="L88" s="149"/>
    </row>
    <row r="89" spans="1:12">
      <c r="A89" s="142" t="s">
        <v>62</v>
      </c>
      <c r="B89" s="102"/>
      <c r="C89" s="143"/>
      <c r="D89" s="144"/>
      <c r="E89" s="150"/>
      <c r="F89" s="146"/>
      <c r="G89" s="122" t="s">
        <v>120</v>
      </c>
      <c r="H89" s="151"/>
      <c r="I89" s="152"/>
      <c r="J89" s="153"/>
      <c r="K89" s="148"/>
      <c r="L89" s="149"/>
    </row>
    <row r="90" spans="1:12">
      <c r="A90" s="142" t="s">
        <v>63</v>
      </c>
      <c r="B90" s="102"/>
      <c r="C90" s="143"/>
      <c r="D90" s="144"/>
      <c r="E90" s="150"/>
      <c r="F90" s="146"/>
      <c r="G90" s="122" t="s">
        <v>123</v>
      </c>
      <c r="H90" s="151"/>
      <c r="I90" s="152"/>
      <c r="J90" s="153"/>
      <c r="K90" s="148"/>
      <c r="L90" s="149"/>
    </row>
    <row r="91" spans="1:12">
      <c r="A91" s="142" t="s">
        <v>64</v>
      </c>
      <c r="B91" s="102"/>
      <c r="C91" s="143"/>
      <c r="D91" s="144"/>
      <c r="E91" s="150"/>
      <c r="F91" s="146"/>
      <c r="G91" s="122" t="s">
        <v>122</v>
      </c>
      <c r="H91" s="151"/>
      <c r="I91" s="152"/>
      <c r="J91" s="153"/>
      <c r="K91" s="148"/>
      <c r="L91" s="149"/>
    </row>
    <row r="92" spans="1:12">
      <c r="A92" s="142" t="s">
        <v>65</v>
      </c>
      <c r="B92" s="102"/>
      <c r="C92" s="143"/>
      <c r="D92" s="144"/>
      <c r="E92" s="150"/>
      <c r="F92" s="146"/>
      <c r="G92" s="122" t="s">
        <v>124</v>
      </c>
      <c r="H92" s="151"/>
      <c r="I92" s="152"/>
      <c r="J92" s="153"/>
      <c r="K92" s="148"/>
      <c r="L92" s="149"/>
    </row>
    <row r="93" spans="1:12">
      <c r="A93" s="142" t="s">
        <v>66</v>
      </c>
      <c r="B93" s="102"/>
      <c r="C93" s="143"/>
      <c r="D93" s="144"/>
      <c r="E93" s="150"/>
      <c r="F93" s="146"/>
      <c r="G93" s="122" t="s">
        <v>125</v>
      </c>
      <c r="H93" s="151"/>
      <c r="I93" s="152"/>
      <c r="J93" s="153"/>
      <c r="K93" s="148"/>
      <c r="L93" s="149"/>
    </row>
    <row r="94" spans="1:12">
      <c r="A94" s="142" t="s">
        <v>67</v>
      </c>
      <c r="B94" s="102"/>
      <c r="C94" s="143"/>
      <c r="D94" s="144"/>
      <c r="E94" s="150"/>
      <c r="F94" s="146"/>
      <c r="G94" s="122" t="s">
        <v>126</v>
      </c>
      <c r="H94" s="151"/>
      <c r="I94" s="152"/>
      <c r="J94" s="153"/>
      <c r="K94" s="148"/>
      <c r="L94" s="149"/>
    </row>
    <row r="95" spans="1:12">
      <c r="A95" s="142" t="s">
        <v>68</v>
      </c>
      <c r="B95" s="102"/>
      <c r="C95" s="143"/>
      <c r="D95" s="144"/>
      <c r="E95" s="150"/>
      <c r="F95" s="146"/>
      <c r="G95" s="122" t="s">
        <v>127</v>
      </c>
      <c r="H95" s="151"/>
      <c r="I95" s="152"/>
      <c r="J95" s="153"/>
      <c r="K95" s="148"/>
      <c r="L95" s="149"/>
    </row>
    <row r="96" spans="1:12">
      <c r="A96" s="142" t="s">
        <v>69</v>
      </c>
      <c r="B96" s="102"/>
      <c r="C96" s="143"/>
      <c r="D96" s="144"/>
      <c r="E96" s="150"/>
      <c r="F96" s="146"/>
      <c r="G96" s="122" t="s">
        <v>75</v>
      </c>
      <c r="H96" s="151"/>
      <c r="I96" s="152"/>
      <c r="J96" s="153"/>
      <c r="K96" s="148"/>
      <c r="L96" s="149"/>
    </row>
    <row r="97" spans="1:12">
      <c r="A97" s="142" t="s">
        <v>70</v>
      </c>
      <c r="B97" s="102"/>
      <c r="C97" s="143"/>
      <c r="D97" s="144"/>
      <c r="E97" s="150"/>
      <c r="F97" s="146"/>
      <c r="G97" s="122" t="s">
        <v>76</v>
      </c>
      <c r="H97" s="151"/>
      <c r="I97" s="152"/>
      <c r="J97" s="153"/>
      <c r="K97" s="148"/>
      <c r="L97" s="149"/>
    </row>
    <row r="98" spans="1:12">
      <c r="A98" s="142" t="s">
        <v>71</v>
      </c>
      <c r="B98" s="102"/>
      <c r="C98" s="143"/>
      <c r="D98" s="144"/>
      <c r="E98" s="150"/>
      <c r="F98" s="146"/>
      <c r="G98" s="122" t="s">
        <v>77</v>
      </c>
      <c r="H98" s="151"/>
      <c r="I98" s="152"/>
      <c r="J98" s="153"/>
      <c r="K98" s="148"/>
      <c r="L98" s="149"/>
    </row>
    <row r="99" spans="1:12">
      <c r="A99" s="154" t="s">
        <v>121</v>
      </c>
      <c r="B99" s="155"/>
      <c r="C99" s="156"/>
      <c r="D99" s="157"/>
      <c r="E99" s="158"/>
      <c r="F99" s="159"/>
      <c r="G99" s="122" t="s">
        <v>78</v>
      </c>
      <c r="H99" s="160"/>
      <c r="I99" s="161"/>
      <c r="J99" s="162"/>
      <c r="K99" s="163"/>
      <c r="L99" s="164"/>
    </row>
    <row r="100" spans="1:12" ht="15" customHeight="1">
      <c r="A100" s="122" t="s">
        <v>72</v>
      </c>
      <c r="B100" s="102"/>
      <c r="C100" s="165"/>
      <c r="D100" s="157"/>
      <c r="E100" s="158"/>
      <c r="F100" s="159"/>
      <c r="G100" s="122" t="s">
        <v>79</v>
      </c>
      <c r="H100" s="160"/>
      <c r="I100" s="161"/>
      <c r="J100" s="162"/>
      <c r="K100" s="163"/>
      <c r="L100" s="164"/>
    </row>
    <row r="101" spans="1:12" ht="25.5">
      <c r="A101" s="265" t="s">
        <v>73</v>
      </c>
      <c r="B101" s="166"/>
      <c r="C101" s="167"/>
      <c r="D101" s="157"/>
      <c r="E101" s="158"/>
      <c r="F101" s="159"/>
      <c r="G101" s="122" t="s">
        <v>80</v>
      </c>
      <c r="H101" s="160"/>
      <c r="I101" s="161"/>
      <c r="J101" s="162"/>
      <c r="K101" s="163"/>
      <c r="L101" s="164"/>
    </row>
    <row r="102" spans="1:12" ht="13.5" thickBot="1">
      <c r="A102" s="168"/>
      <c r="B102" s="169"/>
      <c r="C102" s="170"/>
      <c r="D102" s="157"/>
      <c r="E102" s="158"/>
      <c r="F102" s="159"/>
      <c r="G102" s="122" t="s">
        <v>74</v>
      </c>
      <c r="H102" s="160"/>
      <c r="I102" s="161"/>
      <c r="J102" s="162"/>
      <c r="K102" s="163"/>
      <c r="L102" s="164"/>
    </row>
    <row r="103" spans="1:12" ht="15.75" customHeight="1" thickBot="1">
      <c r="A103" s="420" t="s">
        <v>276</v>
      </c>
      <c r="B103" s="421"/>
      <c r="C103" s="446"/>
      <c r="D103" s="171"/>
      <c r="E103" s="172"/>
      <c r="F103" s="173">
        <f>SUM(F83:F102)</f>
        <v>0</v>
      </c>
      <c r="G103" s="420" t="s">
        <v>130</v>
      </c>
      <c r="H103" s="421"/>
      <c r="I103" s="421"/>
      <c r="J103" s="435"/>
      <c r="K103" s="172"/>
      <c r="L103" s="266">
        <f>SUM(L84:L102)</f>
        <v>0</v>
      </c>
    </row>
    <row r="104" spans="1:12" ht="13.5" thickBot="1">
      <c r="A104" s="130"/>
      <c r="B104" s="130"/>
      <c r="C104" s="130"/>
      <c r="D104" s="130"/>
      <c r="E104" s="130"/>
      <c r="F104" s="174"/>
      <c r="G104" s="174"/>
      <c r="H104" s="174"/>
      <c r="I104" s="174"/>
      <c r="J104" s="174"/>
      <c r="K104" s="174"/>
      <c r="L104" s="174"/>
    </row>
    <row r="105" spans="1:12" ht="15.75" thickBot="1">
      <c r="A105" s="420" t="s">
        <v>277</v>
      </c>
      <c r="B105" s="421"/>
      <c r="C105" s="421"/>
      <c r="D105" s="172"/>
      <c r="E105" s="172"/>
      <c r="F105" s="172"/>
      <c r="G105" s="172"/>
      <c r="H105" s="172"/>
      <c r="I105" s="172"/>
      <c r="J105" s="172"/>
      <c r="K105" s="172"/>
      <c r="L105" s="266">
        <f>+L29+L49-L78+F103+L103</f>
        <v>0</v>
      </c>
    </row>
    <row r="106" spans="1:12" ht="13.5" thickBot="1">
      <c r="A106" s="131"/>
      <c r="B106" s="131"/>
      <c r="C106" s="131"/>
      <c r="D106" s="131"/>
      <c r="E106" s="131"/>
      <c r="F106" s="96"/>
      <c r="G106" s="96"/>
      <c r="H106" s="96"/>
      <c r="I106" s="96"/>
      <c r="J106" s="96"/>
      <c r="K106" s="96"/>
      <c r="L106" s="96"/>
    </row>
    <row r="107" spans="1:12">
      <c r="A107" s="175"/>
      <c r="B107" s="176"/>
      <c r="C107" s="176"/>
      <c r="D107" s="176"/>
      <c r="E107" s="177"/>
      <c r="F107" s="176"/>
      <c r="G107" s="178"/>
      <c r="H107" s="179"/>
      <c r="I107" s="176"/>
      <c r="J107" s="178"/>
      <c r="K107" s="176"/>
      <c r="L107" s="179"/>
    </row>
    <row r="108" spans="1:12">
      <c r="A108" s="180" t="s">
        <v>10</v>
      </c>
      <c r="B108" s="181"/>
      <c r="C108" s="181"/>
      <c r="D108" s="181"/>
      <c r="E108" s="182" t="s">
        <v>131</v>
      </c>
      <c r="F108" s="183"/>
      <c r="G108" s="184"/>
      <c r="H108" s="185"/>
      <c r="I108" s="184" t="s">
        <v>132</v>
      </c>
      <c r="J108" s="184"/>
      <c r="K108" s="186"/>
      <c r="L108" s="187"/>
    </row>
    <row r="109" spans="1:12">
      <c r="A109" s="180" t="str">
        <f>TOTAL!B40</f>
        <v xml:space="preserve">NOMBRE: </v>
      </c>
      <c r="B109" s="181"/>
      <c r="C109" s="181"/>
      <c r="D109" s="181"/>
      <c r="E109" s="180" t="str">
        <f>TOTAL!C40</f>
        <v xml:space="preserve">NOMBRE: </v>
      </c>
      <c r="F109" s="181"/>
      <c r="G109" s="124"/>
      <c r="H109" s="187"/>
      <c r="I109" s="303" t="str">
        <f>+TOTAL!E40</f>
        <v xml:space="preserve">NOMBRE: </v>
      </c>
      <c r="J109" s="303" t="str">
        <f>+TOTAL!F40</f>
        <v>Jaime Alonso Velez Mazo</v>
      </c>
      <c r="K109" s="186"/>
      <c r="L109" s="187"/>
    </row>
    <row r="110" spans="1:12">
      <c r="A110" s="180" t="str">
        <f>TOTAL!B41</f>
        <v xml:space="preserve">CARGO: </v>
      </c>
      <c r="B110" s="181"/>
      <c r="C110" s="181"/>
      <c r="D110" s="181"/>
      <c r="E110" s="180" t="str">
        <f>TOTAL!C41</f>
        <v xml:space="preserve">CARGO: </v>
      </c>
      <c r="F110" s="181"/>
      <c r="G110" s="124"/>
      <c r="H110" s="187"/>
      <c r="I110" s="303" t="str">
        <f>+TOTAL!E41</f>
        <v>CARGO:</v>
      </c>
      <c r="J110" s="303" t="str">
        <f>+TOTAL!F41</f>
        <v>Asistente de Presidencia para Presupuesto</v>
      </c>
      <c r="K110" s="186"/>
      <c r="L110" s="187"/>
    </row>
    <row r="111" spans="1:12">
      <c r="A111" s="180" t="str">
        <f>TOTAL!B42</f>
        <v xml:space="preserve">FECHA: </v>
      </c>
      <c r="B111" s="181"/>
      <c r="C111" s="181"/>
      <c r="D111" s="181"/>
      <c r="E111" s="180" t="str">
        <f>TOTAL!C42</f>
        <v xml:space="preserve">FECHA: </v>
      </c>
      <c r="F111" s="181"/>
      <c r="G111" s="124"/>
      <c r="H111" s="187"/>
      <c r="I111" s="303" t="str">
        <f>+TOTAL!E42</f>
        <v xml:space="preserve">FECHA: </v>
      </c>
      <c r="J111" s="303">
        <f>+TOTAL!F42</f>
        <v>0</v>
      </c>
      <c r="K111" s="186"/>
      <c r="L111" s="187"/>
    </row>
    <row r="112" spans="1:12" ht="13.5" thickBot="1">
      <c r="A112" s="188"/>
      <c r="B112" s="189"/>
      <c r="C112" s="189"/>
      <c r="D112" s="189"/>
      <c r="E112" s="190"/>
      <c r="F112" s="189"/>
      <c r="G112" s="191"/>
      <c r="H112" s="192"/>
      <c r="I112" s="189"/>
      <c r="J112" s="191"/>
      <c r="K112" s="193"/>
      <c r="L112" s="192"/>
    </row>
    <row r="113" spans="1:12" s="194" customFormat="1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</row>
    <row r="114" spans="1:12" s="194" customFormat="1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</row>
    <row r="115" spans="1:12" s="194" customFormat="1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</row>
    <row r="116" spans="1:12" s="194" customFormat="1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</row>
    <row r="117" spans="1:12" s="194" customFormat="1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09"/>
  <sheetViews>
    <sheetView tabSelected="1" topLeftCell="A40" zoomScale="65" zoomScaleNormal="65" workbookViewId="0">
      <selection activeCell="B106" sqref="B106:F108"/>
    </sheetView>
  </sheetViews>
  <sheetFormatPr baseColWidth="10" defaultRowHeight="15"/>
  <cols>
    <col min="1" max="1" width="2.42578125" style="48" customWidth="1"/>
    <col min="2" max="2" width="11.140625" style="46" customWidth="1"/>
    <col min="3" max="3" width="42" style="49" customWidth="1"/>
    <col min="4" max="4" width="12.85546875" style="49" customWidth="1"/>
    <col min="5" max="5" width="15.28515625" style="49" customWidth="1"/>
    <col min="6" max="6" width="16.140625" style="49" customWidth="1"/>
    <col min="7" max="7" width="64.42578125" style="49" customWidth="1"/>
    <col min="8" max="8" width="10.85546875" style="50" customWidth="1"/>
    <col min="9" max="9" width="16.28515625" style="358" customWidth="1"/>
    <col min="10" max="10" width="12.85546875" style="51" customWidth="1"/>
    <col min="11" max="11" width="30.7109375" style="358" customWidth="1"/>
    <col min="12" max="12" width="12.85546875" style="321" customWidth="1"/>
    <col min="13" max="13" width="17" style="350" customWidth="1"/>
    <col min="14" max="14" width="23.5703125" style="342" customWidth="1"/>
    <col min="15" max="26" width="4" style="46" customWidth="1"/>
    <col min="27" max="27" width="11.7109375" style="40" bestFit="1" customWidth="1"/>
    <col min="28" max="16384" width="11.42578125" style="39"/>
  </cols>
  <sheetData>
    <row r="1" spans="1:27" ht="20.25" customHeight="1">
      <c r="A1" s="457"/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494"/>
      <c r="O1" s="494"/>
      <c r="P1" s="494"/>
      <c r="Q1" s="494"/>
      <c r="R1" s="494"/>
      <c r="S1" s="494"/>
      <c r="T1" s="494"/>
      <c r="U1" s="494"/>
      <c r="V1" s="494"/>
      <c r="W1" s="494"/>
      <c r="X1" s="494"/>
      <c r="Y1" s="494"/>
      <c r="Z1" s="495"/>
      <c r="AA1" s="39"/>
    </row>
    <row r="2" spans="1:27" ht="39" customHeight="1">
      <c r="A2" s="2"/>
      <c r="B2" s="496" t="s">
        <v>4</v>
      </c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497"/>
      <c r="S2" s="497"/>
      <c r="T2" s="497"/>
      <c r="U2" s="497"/>
      <c r="V2" s="497"/>
      <c r="W2" s="497"/>
      <c r="X2" s="497"/>
      <c r="Y2" s="497"/>
      <c r="Z2" s="498"/>
      <c r="AA2" s="39"/>
    </row>
    <row r="3" spans="1:27" ht="27.75" customHeight="1">
      <c r="A3" s="2"/>
      <c r="B3" s="496" t="s">
        <v>113</v>
      </c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  <c r="Q3" s="497"/>
      <c r="R3" s="497"/>
      <c r="S3" s="497"/>
      <c r="T3" s="497"/>
      <c r="U3" s="497"/>
      <c r="V3" s="497"/>
      <c r="W3" s="497"/>
      <c r="X3" s="497"/>
      <c r="Y3" s="497"/>
      <c r="Z3" s="498"/>
      <c r="AA3" s="39"/>
    </row>
    <row r="4" spans="1:27" ht="10.5" customHeight="1">
      <c r="A4" s="455"/>
      <c r="B4" s="456"/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99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9"/>
    </row>
    <row r="5" spans="1:27" ht="10.5" customHeight="1" thickBot="1">
      <c r="A5" s="457"/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500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9"/>
    </row>
    <row r="6" spans="1:27" ht="23.25" customHeight="1" thickBot="1">
      <c r="A6" s="6"/>
      <c r="B6" s="488" t="s">
        <v>286</v>
      </c>
      <c r="C6" s="489"/>
      <c r="D6" s="489"/>
      <c r="E6" s="489"/>
      <c r="F6" s="489"/>
      <c r="G6" s="489"/>
      <c r="H6" s="489"/>
      <c r="I6" s="489"/>
      <c r="J6" s="489"/>
      <c r="K6" s="490"/>
      <c r="L6" s="399" t="s">
        <v>114</v>
      </c>
      <c r="M6" s="401">
        <v>2019</v>
      </c>
      <c r="N6" s="422" t="s">
        <v>285</v>
      </c>
      <c r="O6" s="491"/>
      <c r="P6" s="491"/>
      <c r="Q6" s="491"/>
      <c r="R6" s="491"/>
      <c r="S6" s="491"/>
      <c r="T6" s="491"/>
      <c r="U6" s="491"/>
      <c r="V6" s="491"/>
      <c r="W6" s="491"/>
      <c r="X6" s="491"/>
      <c r="Y6" s="491"/>
      <c r="Z6" s="492"/>
    </row>
    <row r="7" spans="1:27" s="42" customFormat="1" ht="6" customHeight="1" thickBot="1">
      <c r="A7" s="482"/>
      <c r="B7" s="482"/>
      <c r="C7" s="482"/>
      <c r="D7" s="482"/>
      <c r="E7" s="482"/>
      <c r="F7" s="482"/>
      <c r="G7" s="482"/>
      <c r="H7" s="482"/>
      <c r="I7" s="482"/>
      <c r="J7" s="482"/>
      <c r="K7" s="482"/>
      <c r="L7" s="482"/>
      <c r="M7" s="482"/>
      <c r="N7" s="48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41"/>
    </row>
    <row r="8" spans="1:27" s="47" customFormat="1" ht="25.5" customHeight="1" thickBot="1">
      <c r="A8" s="267"/>
      <c r="B8" s="304" t="s">
        <v>0</v>
      </c>
      <c r="C8" s="486" t="str">
        <f>+TOTAL!C9</f>
        <v>AREAS DE BIENESTAR</v>
      </c>
      <c r="D8" s="486"/>
      <c r="E8" s="486"/>
      <c r="F8" s="486"/>
      <c r="G8" s="486"/>
      <c r="H8" s="305"/>
      <c r="I8" s="355"/>
      <c r="J8" s="305"/>
      <c r="K8" s="355"/>
      <c r="L8" s="315"/>
      <c r="M8" s="343"/>
      <c r="N8" s="334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6"/>
      <c r="AA8" s="268"/>
    </row>
    <row r="9" spans="1:27" s="271" customFormat="1" ht="25.5" customHeight="1" thickBot="1">
      <c r="A9" s="269"/>
      <c r="B9" s="353" t="s">
        <v>6</v>
      </c>
      <c r="C9" s="493" t="str">
        <f>+INGRESOS!A10</f>
        <v>Area de Recreación y Deporte</v>
      </c>
      <c r="D9" s="493"/>
      <c r="E9" s="493"/>
      <c r="F9" s="493"/>
      <c r="G9" s="493"/>
      <c r="H9" s="279" t="s">
        <v>5</v>
      </c>
      <c r="I9" s="486" t="str">
        <f>+INGRESOS!J10</f>
        <v>89010105</v>
      </c>
      <c r="J9" s="486"/>
      <c r="K9" s="486"/>
      <c r="L9" s="486"/>
      <c r="M9" s="486"/>
      <c r="N9" s="486"/>
      <c r="O9" s="486"/>
      <c r="P9" s="486"/>
      <c r="Q9" s="486"/>
      <c r="R9" s="486"/>
      <c r="S9" s="486"/>
      <c r="T9" s="486"/>
      <c r="U9" s="486"/>
      <c r="V9" s="486"/>
      <c r="W9" s="486"/>
      <c r="X9" s="486"/>
      <c r="Y9" s="486"/>
      <c r="Z9" s="487"/>
      <c r="AA9" s="270"/>
    </row>
    <row r="10" spans="1:27" s="42" customFormat="1" ht="15.75" thickBot="1">
      <c r="A10" s="482"/>
      <c r="B10" s="482"/>
      <c r="C10" s="482"/>
      <c r="D10" s="482"/>
      <c r="E10" s="482"/>
      <c r="F10" s="482"/>
      <c r="G10" s="482"/>
      <c r="H10" s="482"/>
      <c r="I10" s="482"/>
      <c r="J10" s="482"/>
      <c r="K10" s="482"/>
      <c r="L10" s="482"/>
      <c r="M10" s="482"/>
      <c r="N10" s="482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41"/>
    </row>
    <row r="11" spans="1:27" s="384" customFormat="1" ht="32.25" customHeight="1" thickBot="1">
      <c r="A11" s="382"/>
      <c r="B11" s="505" t="s">
        <v>3</v>
      </c>
      <c r="C11" s="506"/>
      <c r="D11" s="503" t="s">
        <v>259</v>
      </c>
      <c r="E11" s="506" t="s">
        <v>260</v>
      </c>
      <c r="F11" s="503" t="s">
        <v>249</v>
      </c>
      <c r="G11" s="503" t="s">
        <v>250</v>
      </c>
      <c r="H11" s="483" t="s">
        <v>255</v>
      </c>
      <c r="I11" s="484"/>
      <c r="J11" s="484"/>
      <c r="K11" s="484"/>
      <c r="L11" s="484"/>
      <c r="M11" s="484"/>
      <c r="N11" s="485"/>
      <c r="O11" s="483" t="s">
        <v>256</v>
      </c>
      <c r="P11" s="484"/>
      <c r="Q11" s="484"/>
      <c r="R11" s="484"/>
      <c r="S11" s="484"/>
      <c r="T11" s="484"/>
      <c r="U11" s="484"/>
      <c r="V11" s="484"/>
      <c r="W11" s="484"/>
      <c r="X11" s="484"/>
      <c r="Y11" s="484"/>
      <c r="Z11" s="485"/>
      <c r="AA11" s="383"/>
    </row>
    <row r="12" spans="1:27" s="384" customFormat="1" ht="54" customHeight="1" thickBot="1">
      <c r="A12" s="382"/>
      <c r="B12" s="507"/>
      <c r="C12" s="508"/>
      <c r="D12" s="509"/>
      <c r="E12" s="510"/>
      <c r="F12" s="509"/>
      <c r="G12" s="504"/>
      <c r="H12" s="483" t="s">
        <v>257</v>
      </c>
      <c r="I12" s="485"/>
      <c r="J12" s="483" t="s">
        <v>269</v>
      </c>
      <c r="K12" s="485"/>
      <c r="L12" s="483" t="s">
        <v>258</v>
      </c>
      <c r="M12" s="485"/>
      <c r="N12" s="511" t="s">
        <v>268</v>
      </c>
      <c r="O12" s="503" t="s">
        <v>225</v>
      </c>
      <c r="P12" s="503" t="s">
        <v>226</v>
      </c>
      <c r="Q12" s="503" t="s">
        <v>227</v>
      </c>
      <c r="R12" s="503" t="s">
        <v>228</v>
      </c>
      <c r="S12" s="503" t="s">
        <v>227</v>
      </c>
      <c r="T12" s="503" t="s">
        <v>229</v>
      </c>
      <c r="U12" s="503" t="s">
        <v>229</v>
      </c>
      <c r="V12" s="503" t="s">
        <v>228</v>
      </c>
      <c r="W12" s="503" t="s">
        <v>230</v>
      </c>
      <c r="X12" s="503" t="s">
        <v>231</v>
      </c>
      <c r="Y12" s="503" t="s">
        <v>224</v>
      </c>
      <c r="Z12" s="503" t="s">
        <v>232</v>
      </c>
      <c r="AA12" s="383"/>
    </row>
    <row r="13" spans="1:27" s="384" customFormat="1" ht="12.75" thickBot="1">
      <c r="A13" s="382"/>
      <c r="B13" s="386" t="s">
        <v>7</v>
      </c>
      <c r="C13" s="385" t="s">
        <v>6</v>
      </c>
      <c r="D13" s="504"/>
      <c r="E13" s="508"/>
      <c r="F13" s="483" t="s">
        <v>248</v>
      </c>
      <c r="G13" s="485"/>
      <c r="H13" s="385" t="s">
        <v>7</v>
      </c>
      <c r="I13" s="385" t="s">
        <v>6</v>
      </c>
      <c r="J13" s="385" t="s">
        <v>7</v>
      </c>
      <c r="K13" s="385" t="s">
        <v>6</v>
      </c>
      <c r="L13" s="385" t="s">
        <v>7</v>
      </c>
      <c r="M13" s="385" t="s">
        <v>6</v>
      </c>
      <c r="N13" s="512"/>
      <c r="O13" s="504"/>
      <c r="P13" s="504"/>
      <c r="Q13" s="504"/>
      <c r="R13" s="504"/>
      <c r="S13" s="504"/>
      <c r="T13" s="504"/>
      <c r="U13" s="504"/>
      <c r="V13" s="504"/>
      <c r="W13" s="504"/>
      <c r="X13" s="504"/>
      <c r="Y13" s="504"/>
      <c r="Z13" s="504"/>
      <c r="AA13" s="383"/>
    </row>
    <row r="14" spans="1:27" s="44" customFormat="1" ht="57" customHeight="1">
      <c r="A14" s="8"/>
      <c r="B14" s="10" t="str">
        <f>+IFERROR(VLOOKUP(C14,Listas!$L$8:$M$100,2,FALSE),"")</f>
        <v>10090101</v>
      </c>
      <c r="C14" s="329" t="s">
        <v>513</v>
      </c>
      <c r="D14" s="273"/>
      <c r="E14" s="274"/>
      <c r="F14" s="273"/>
      <c r="G14" s="380" t="s">
        <v>1065</v>
      </c>
      <c r="H14" s="9" t="str">
        <f>+IF(I14=""," ",VLOOKUP(I14,Listas!$I$8:$J$10,2,FALSE))</f>
        <v>02</v>
      </c>
      <c r="I14" s="329" t="s">
        <v>467</v>
      </c>
      <c r="J14" s="352">
        <f>+IF(K14=""," ",VLOOKUP(K14,PUC!$B:$C,2,FALSE))</f>
        <v>6208020308</v>
      </c>
      <c r="K14" s="329" t="s">
        <v>886</v>
      </c>
      <c r="L14" s="10" t="str">
        <f>+IF(M14=""," ",VLOOKUP(M14,Listas!$F$9:$G$17,2,FALSE))</f>
        <v>06</v>
      </c>
      <c r="M14" s="344" t="s">
        <v>455</v>
      </c>
      <c r="N14" s="336">
        <f>MROUND(99000000,1000)</f>
        <v>99000000</v>
      </c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7" s="44" customFormat="1" ht="45" customHeight="1">
      <c r="A15" s="8"/>
      <c r="B15" s="10" t="str">
        <f>+IFERROR(VLOOKUP(C15,Listas!$L$8:$M$100,2,FALSE),"")</f>
        <v>10090101</v>
      </c>
      <c r="C15" s="329" t="s">
        <v>513</v>
      </c>
      <c r="D15" s="273"/>
      <c r="E15" s="274"/>
      <c r="F15" s="273"/>
      <c r="G15" s="380" t="s">
        <v>1066</v>
      </c>
      <c r="H15" s="9" t="str">
        <f>+IF(I15=""," ",VLOOKUP(I15,Listas!$I$8:$J$10,2,FALSE))</f>
        <v>02</v>
      </c>
      <c r="I15" s="329" t="s">
        <v>467</v>
      </c>
      <c r="J15" s="352" t="str">
        <f>+IF(K15=""," ",VLOOKUP(K15,PUC!$B:$C,2,FALSE))</f>
        <v xml:space="preserve"> </v>
      </c>
      <c r="K15" s="329"/>
      <c r="L15" s="10" t="str">
        <f>+IF(M15=""," ",VLOOKUP(M15,Listas!$F$9:$G$17,2,FALSE))</f>
        <v xml:space="preserve"> </v>
      </c>
      <c r="M15" s="344"/>
      <c r="N15" s="336"/>
      <c r="O15" s="11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7" s="44" customFormat="1" ht="76.5">
      <c r="A16" s="8"/>
      <c r="B16" s="10" t="str">
        <f>+IFERROR(VLOOKUP(C16,Listas!$L$8:$M$100,2,FALSE),"")</f>
        <v>10090101</v>
      </c>
      <c r="C16" s="329" t="s">
        <v>513</v>
      </c>
      <c r="D16" s="273"/>
      <c r="E16" s="274"/>
      <c r="F16" s="273"/>
      <c r="G16" s="380" t="s">
        <v>1067</v>
      </c>
      <c r="H16" s="9" t="str">
        <f>+IF(I16=""," ",VLOOKUP(I16,Listas!$I$8:$J$10,2,FALSE))</f>
        <v>02</v>
      </c>
      <c r="I16" s="329" t="s">
        <v>467</v>
      </c>
      <c r="J16" s="352" t="str">
        <f>+IF(K16=""," ",VLOOKUP(K16,PUC!$B:$C,2,FALSE))</f>
        <v xml:space="preserve"> </v>
      </c>
      <c r="K16" s="329"/>
      <c r="L16" s="10" t="str">
        <f>+IF(M16=""," ",VLOOKUP(M16,Listas!$F$9:$G$17,2,FALSE))</f>
        <v xml:space="preserve"> </v>
      </c>
      <c r="M16" s="344"/>
      <c r="N16" s="336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 s="44" customFormat="1" ht="51">
      <c r="A17" s="8"/>
      <c r="B17" s="10" t="str">
        <f>+IFERROR(VLOOKUP(C17,Listas!$L$8:$M$100,2,FALSE),"")</f>
        <v>10090101</v>
      </c>
      <c r="C17" s="329" t="s">
        <v>513</v>
      </c>
      <c r="D17" s="273"/>
      <c r="E17" s="274"/>
      <c r="F17" s="273"/>
      <c r="G17" s="380" t="s">
        <v>1068</v>
      </c>
      <c r="H17" s="9" t="str">
        <f>+IF(I17=""," ",VLOOKUP(I17,Listas!$I$8:$J$10,2,FALSE))</f>
        <v>02</v>
      </c>
      <c r="I17" s="329" t="s">
        <v>467</v>
      </c>
      <c r="J17" s="352">
        <f>+IF(K17=""," ",VLOOKUP(K17,PUC!$B:$C,2,FALSE))</f>
        <v>6208021202</v>
      </c>
      <c r="K17" s="329" t="s">
        <v>800</v>
      </c>
      <c r="L17" s="10" t="str">
        <f>+IF(M17=""," ",VLOOKUP(M17,Listas!$F$9:$G$17,2,FALSE))</f>
        <v>06</v>
      </c>
      <c r="M17" s="344" t="s">
        <v>455</v>
      </c>
      <c r="N17" s="336">
        <f>MROUND(3500000,1000)</f>
        <v>3500000</v>
      </c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 s="44" customFormat="1" ht="150">
      <c r="A18" s="8"/>
      <c r="B18" s="10" t="str">
        <f>+IFERROR(VLOOKUP(C18,Listas!$L$8:$M$100,2,FALSE),"")</f>
        <v>10090101</v>
      </c>
      <c r="C18" s="329" t="s">
        <v>513</v>
      </c>
      <c r="D18" s="273"/>
      <c r="E18" s="274"/>
      <c r="F18" s="273"/>
      <c r="G18" s="380" t="s">
        <v>1069</v>
      </c>
      <c r="H18" s="9" t="str">
        <f>+IF(I18=""," ",VLOOKUP(I18,Listas!$I$8:$J$10,2,FALSE))</f>
        <v>02</v>
      </c>
      <c r="I18" s="329" t="s">
        <v>467</v>
      </c>
      <c r="J18" s="352">
        <f>+IF(K18=""," ",VLOOKUP(K18,PUC!$B:$C,2,FALSE))</f>
        <v>6208021202</v>
      </c>
      <c r="K18" s="329" t="s">
        <v>800</v>
      </c>
      <c r="L18" s="10" t="str">
        <f>+IF(M18=""," ",VLOOKUP(M18,Listas!$F$9:$G$17,2,FALSE))</f>
        <v>06</v>
      </c>
      <c r="M18" s="344" t="s">
        <v>455</v>
      </c>
      <c r="N18" s="336">
        <v>4500000</v>
      </c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 s="44" customFormat="1" ht="150.75" thickBot="1">
      <c r="A19" s="8"/>
      <c r="B19" s="10" t="str">
        <f>+IFERROR(VLOOKUP(C19,Listas!$L$8:$M$100,2,FALSE),"")</f>
        <v>10090101</v>
      </c>
      <c r="C19" s="329" t="s">
        <v>513</v>
      </c>
      <c r="D19" s="275"/>
      <c r="E19" s="276"/>
      <c r="F19" s="354"/>
      <c r="G19" s="380" t="s">
        <v>1070</v>
      </c>
      <c r="H19" s="9" t="str">
        <f>+IF(I19=""," ",VLOOKUP(I19,Listas!$I$8:$J$10,2,FALSE))</f>
        <v>02</v>
      </c>
      <c r="I19" s="329" t="s">
        <v>467</v>
      </c>
      <c r="J19" s="352">
        <f>+IF(K19=""," ",VLOOKUP(K19,PUC!$B:$C,2,FALSE))</f>
        <v>6208021202</v>
      </c>
      <c r="K19" s="329" t="s">
        <v>800</v>
      </c>
      <c r="L19" s="10" t="str">
        <f>+IF(M19=""," ",VLOOKUP(M19,Listas!$F$9:$G$17,2,FALSE))</f>
        <v>06</v>
      </c>
      <c r="M19" s="344" t="s">
        <v>455</v>
      </c>
      <c r="N19" s="336">
        <f>16000000-7560000</f>
        <v>8440000</v>
      </c>
      <c r="O19" s="14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6"/>
    </row>
    <row r="20" spans="1:26" s="44" customFormat="1" ht="130.5">
      <c r="A20" s="8"/>
      <c r="B20" s="10" t="str">
        <f>+IFERROR(VLOOKUP(C20,Listas!$L$8:$M$100,2,FALSE),"")</f>
        <v>10090101</v>
      </c>
      <c r="C20" s="329" t="s">
        <v>513</v>
      </c>
      <c r="D20" s="273"/>
      <c r="E20" s="274"/>
      <c r="F20" s="273"/>
      <c r="G20" s="380" t="s">
        <v>1071</v>
      </c>
      <c r="H20" s="9" t="str">
        <f>+IF(I20=""," ",VLOOKUP(I20,Listas!$I$8:$J$10,2,FALSE))</f>
        <v>02</v>
      </c>
      <c r="I20" s="329" t="s">
        <v>467</v>
      </c>
      <c r="J20" s="352">
        <f>+IF(K20=""," ",VLOOKUP(K20,PUC!$B:$C,2,FALSE))</f>
        <v>6208021202</v>
      </c>
      <c r="K20" s="329" t="s">
        <v>800</v>
      </c>
      <c r="L20" s="10" t="str">
        <f>+IF(M20=""," ",VLOOKUP(M20,Listas!$F$9:$G$17,2,FALSE))</f>
        <v>06</v>
      </c>
      <c r="M20" s="344" t="s">
        <v>455</v>
      </c>
      <c r="N20" s="336">
        <f>13000000-6120000</f>
        <v>6880000</v>
      </c>
      <c r="O20" s="11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s="44" customFormat="1" ht="144" thickBot="1">
      <c r="A21" s="8"/>
      <c r="B21" s="10" t="str">
        <f>+IFERROR(VLOOKUP(C21,Listas!$L$8:$M$100,2,FALSE),"")</f>
        <v>10090101</v>
      </c>
      <c r="C21" s="329" t="s">
        <v>513</v>
      </c>
      <c r="D21" s="275"/>
      <c r="E21" s="276"/>
      <c r="F21" s="275"/>
      <c r="G21" s="380" t="s">
        <v>1072</v>
      </c>
      <c r="H21" s="9" t="str">
        <f>+IF(I21=""," ",VLOOKUP(I21,Listas!$I$8:$J$10,2,FALSE))</f>
        <v>02</v>
      </c>
      <c r="I21" s="329" t="s">
        <v>467</v>
      </c>
      <c r="J21" s="352">
        <f>+IF(K21=""," ",VLOOKUP(K21,PUC!$B:$C,2,FALSE))</f>
        <v>6208021202</v>
      </c>
      <c r="K21" s="329" t="s">
        <v>800</v>
      </c>
      <c r="L21" s="10" t="str">
        <f>+IF(M21=""," ",VLOOKUP(M21,Listas!$F$9:$G$17,2,FALSE))</f>
        <v>06</v>
      </c>
      <c r="M21" s="344" t="s">
        <v>455</v>
      </c>
      <c r="N21" s="336">
        <f>10000000-4680000</f>
        <v>5320000</v>
      </c>
      <c r="O21" s="14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6"/>
    </row>
    <row r="22" spans="1:26" s="44" customFormat="1" ht="130.5">
      <c r="A22" s="8"/>
      <c r="B22" s="10" t="str">
        <f>+IFERROR(VLOOKUP(C22,Listas!$L$8:$M$100,2,FALSE),"")</f>
        <v>10090101</v>
      </c>
      <c r="C22" s="329" t="s">
        <v>513</v>
      </c>
      <c r="D22" s="277"/>
      <c r="E22" s="278"/>
      <c r="F22" s="277"/>
      <c r="G22" s="380" t="s">
        <v>1073</v>
      </c>
      <c r="H22" s="9" t="str">
        <f>+IF(I22=""," ",VLOOKUP(I22,Listas!$I$8:$J$10,2,FALSE))</f>
        <v>02</v>
      </c>
      <c r="I22" s="329" t="s">
        <v>467</v>
      </c>
      <c r="J22" s="352">
        <f>+IF(K22=""," ",VLOOKUP(K22,PUC!$B:$C,2,FALSE))</f>
        <v>6208021202</v>
      </c>
      <c r="K22" s="329" t="s">
        <v>800</v>
      </c>
      <c r="L22" s="10" t="str">
        <f>+IF(M22=""," ",VLOOKUP(M22,Listas!$F$9:$G$17,2,FALSE))</f>
        <v>06</v>
      </c>
      <c r="M22" s="344" t="s">
        <v>455</v>
      </c>
      <c r="N22" s="336">
        <v>4000000</v>
      </c>
      <c r="O22" s="17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9"/>
    </row>
    <row r="23" spans="1:26" s="44" customFormat="1" ht="145.5">
      <c r="A23" s="8"/>
      <c r="B23" s="10" t="str">
        <f>+IFERROR(VLOOKUP(C23,Listas!$L$8:$M$100,2,FALSE),"")</f>
        <v>10090101</v>
      </c>
      <c r="C23" s="329" t="s">
        <v>513</v>
      </c>
      <c r="D23" s="277"/>
      <c r="E23" s="278"/>
      <c r="F23" s="277"/>
      <c r="G23" s="380" t="s">
        <v>1074</v>
      </c>
      <c r="H23" s="9" t="str">
        <f>+IF(I23=""," ",VLOOKUP(I23,Listas!$I$8:$J$10,2,FALSE))</f>
        <v>02</v>
      </c>
      <c r="I23" s="329" t="s">
        <v>467</v>
      </c>
      <c r="J23" s="352">
        <f>+IF(K23=""," ",VLOOKUP(K23,PUC!$B:$C,2,FALSE))</f>
        <v>6208021202</v>
      </c>
      <c r="K23" s="329" t="s">
        <v>800</v>
      </c>
      <c r="L23" s="10" t="str">
        <f>+IF(M23=""," ",VLOOKUP(M23,Listas!$F$9:$G$17,2,FALSE))</f>
        <v>06</v>
      </c>
      <c r="M23" s="344" t="s">
        <v>455</v>
      </c>
      <c r="N23" s="336">
        <f>14000000-1200000</f>
        <v>12800000</v>
      </c>
      <c r="O23" s="17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9"/>
    </row>
    <row r="24" spans="1:26" s="44" customFormat="1" ht="132.75">
      <c r="A24" s="8"/>
      <c r="B24" s="10" t="str">
        <f>+IFERROR(VLOOKUP(C24,Listas!$L$8:$M$100,2,FALSE),"")</f>
        <v>10090101</v>
      </c>
      <c r="C24" s="329" t="s">
        <v>513</v>
      </c>
      <c r="D24" s="277"/>
      <c r="E24" s="278"/>
      <c r="F24" s="277"/>
      <c r="G24" s="380" t="s">
        <v>1075</v>
      </c>
      <c r="H24" s="9" t="str">
        <f>+IF(I24=""," ",VLOOKUP(I24,Listas!$I$8:$J$10,2,FALSE))</f>
        <v>02</v>
      </c>
      <c r="I24" s="329" t="s">
        <v>467</v>
      </c>
      <c r="J24" s="352">
        <f>+IF(K24=""," ",VLOOKUP(K24,PUC!$B:$C,2,FALSE))</f>
        <v>6208021202</v>
      </c>
      <c r="K24" s="329" t="s">
        <v>800</v>
      </c>
      <c r="L24" s="10" t="str">
        <f>+IF(M24=""," ",VLOOKUP(M24,Listas!$F$9:$G$17,2,FALSE))</f>
        <v>06</v>
      </c>
      <c r="M24" s="344" t="s">
        <v>455</v>
      </c>
      <c r="N24" s="336">
        <f>9000000-900000</f>
        <v>8100000</v>
      </c>
      <c r="O24" s="17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9"/>
    </row>
    <row r="25" spans="1:26" s="44" customFormat="1" ht="130.5">
      <c r="A25" s="8"/>
      <c r="B25" s="10" t="str">
        <f>+IFERROR(VLOOKUP(C25,Listas!$L$8:$M$100,2,FALSE),"")</f>
        <v>10090101</v>
      </c>
      <c r="C25" s="329" t="s">
        <v>513</v>
      </c>
      <c r="D25" s="277"/>
      <c r="E25" s="278"/>
      <c r="F25" s="277"/>
      <c r="G25" s="380" t="s">
        <v>1076</v>
      </c>
      <c r="H25" s="9" t="str">
        <f>+IF(I25=""," ",VLOOKUP(I25,Listas!$I$8:$J$10,2,FALSE))</f>
        <v>02</v>
      </c>
      <c r="I25" s="329" t="s">
        <v>467</v>
      </c>
      <c r="J25" s="352">
        <f>+IF(K25=""," ",VLOOKUP(K25,PUC!$B:$C,2,FALSE))</f>
        <v>6208021202</v>
      </c>
      <c r="K25" s="329" t="s">
        <v>800</v>
      </c>
      <c r="L25" s="10" t="str">
        <f>+IF(M25=""," ",VLOOKUP(M25,Listas!$F$9:$G$17,2,FALSE))</f>
        <v>06</v>
      </c>
      <c r="M25" s="344" t="s">
        <v>455</v>
      </c>
      <c r="N25" s="336">
        <f>9500000-950000</f>
        <v>8550000</v>
      </c>
      <c r="O25" s="17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9"/>
    </row>
    <row r="26" spans="1:26" s="44" customFormat="1" ht="102">
      <c r="A26" s="8"/>
      <c r="B26" s="10" t="str">
        <f>+IFERROR(VLOOKUP(C26,Listas!$L$8:$M$100,2,FALSE),"")</f>
        <v>10090101</v>
      </c>
      <c r="C26" s="329" t="s">
        <v>513</v>
      </c>
      <c r="D26" s="277"/>
      <c r="E26" s="278"/>
      <c r="F26" s="277"/>
      <c r="G26" s="380" t="s">
        <v>1077</v>
      </c>
      <c r="H26" s="9" t="str">
        <f>+IF(I26=""," ",VLOOKUP(I26,Listas!$I$8:$J$10,2,FALSE))</f>
        <v>02</v>
      </c>
      <c r="I26" s="329" t="s">
        <v>467</v>
      </c>
      <c r="J26" s="352">
        <f>+IF(K26=""," ",VLOOKUP(K26,PUC!$B:$C,2,FALSE))</f>
        <v>6208021202</v>
      </c>
      <c r="K26" s="329" t="s">
        <v>800</v>
      </c>
      <c r="L26" s="10" t="str">
        <f>+IF(M26=""," ",VLOOKUP(M26,Listas!$F$9:$G$17,2,FALSE))</f>
        <v>06</v>
      </c>
      <c r="M26" s="344" t="s">
        <v>455</v>
      </c>
      <c r="N26" s="336">
        <f>10000000-1000000</f>
        <v>9000000</v>
      </c>
      <c r="O26" s="17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9"/>
    </row>
    <row r="27" spans="1:26" s="44" customFormat="1" ht="51">
      <c r="A27" s="8"/>
      <c r="B27" s="10" t="str">
        <f>+IFERROR(VLOOKUP(C27,Listas!$L$8:$M$100,2,FALSE),"")</f>
        <v>10090101</v>
      </c>
      <c r="C27" s="329" t="s">
        <v>513</v>
      </c>
      <c r="D27" s="277"/>
      <c r="E27" s="278"/>
      <c r="F27" s="277"/>
      <c r="G27" s="380" t="s">
        <v>1078</v>
      </c>
      <c r="H27" s="9" t="str">
        <f>+IF(I27=""," ",VLOOKUP(I27,Listas!$I$8:$J$10,2,FALSE))</f>
        <v>02</v>
      </c>
      <c r="I27" s="329" t="s">
        <v>467</v>
      </c>
      <c r="J27" s="352">
        <f>+IF(K27=""," ",VLOOKUP(K27,PUC!$B:$C,2,FALSE))</f>
        <v>6208021202</v>
      </c>
      <c r="K27" s="329" t="s">
        <v>800</v>
      </c>
      <c r="L27" s="10" t="str">
        <f>+IF(M27=""," ",VLOOKUP(M27,Listas!$F$9:$G$17,2,FALSE))</f>
        <v>06</v>
      </c>
      <c r="M27" s="344" t="s">
        <v>455</v>
      </c>
      <c r="N27" s="336">
        <f>15000000-1500000</f>
        <v>13500000</v>
      </c>
      <c r="O27" s="17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9"/>
    </row>
    <row r="28" spans="1:26" s="44" customFormat="1" ht="105">
      <c r="A28" s="8"/>
      <c r="B28" s="10" t="str">
        <f>+IFERROR(VLOOKUP(C28,Listas!$L$8:$M$100,2,FALSE),"")</f>
        <v>10090101</v>
      </c>
      <c r="C28" s="329" t="s">
        <v>513</v>
      </c>
      <c r="D28" s="277"/>
      <c r="E28" s="278"/>
      <c r="F28" s="277"/>
      <c r="G28" s="380" t="s">
        <v>1088</v>
      </c>
      <c r="H28" s="9" t="str">
        <f>+IF(I28=""," ",VLOOKUP(I28,Listas!$I$8:$J$10,2,FALSE))</f>
        <v>02</v>
      </c>
      <c r="I28" s="329" t="s">
        <v>467</v>
      </c>
      <c r="J28" s="352">
        <f>+IF(K28=""," ",VLOOKUP(K28,PUC!$B:$C,2,FALSE))</f>
        <v>6208021202</v>
      </c>
      <c r="K28" s="329" t="s">
        <v>800</v>
      </c>
      <c r="L28" s="10" t="str">
        <f>+IF(M28=""," ",VLOOKUP(M28,Listas!$F$9:$G$17,2,FALSE))</f>
        <v>06</v>
      </c>
      <c r="M28" s="344" t="s">
        <v>455</v>
      </c>
      <c r="N28" s="336">
        <v>12000000</v>
      </c>
      <c r="O28" s="17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9"/>
    </row>
    <row r="29" spans="1:26" s="44" customFormat="1" ht="51">
      <c r="A29" s="8"/>
      <c r="B29" s="10" t="str">
        <f>+IFERROR(VLOOKUP(C29,Listas!$L$8:$M$100,2,FALSE),"")</f>
        <v>10090101</v>
      </c>
      <c r="C29" s="329" t="s">
        <v>513</v>
      </c>
      <c r="D29" s="277"/>
      <c r="E29" s="278"/>
      <c r="F29" s="277"/>
      <c r="G29" s="380" t="s">
        <v>1079</v>
      </c>
      <c r="H29" s="9" t="str">
        <f>+IF(I29=""," ",VLOOKUP(I29,Listas!$I$8:$J$10,2,FALSE))</f>
        <v>02</v>
      </c>
      <c r="I29" s="329" t="s">
        <v>467</v>
      </c>
      <c r="J29" s="352">
        <f>+IF(K29=""," ",VLOOKUP(K29,PUC!$B:$C,2,FALSE))</f>
        <v>6208021202</v>
      </c>
      <c r="K29" s="329" t="s">
        <v>800</v>
      </c>
      <c r="L29" s="10" t="str">
        <f>+IF(M29=""," ",VLOOKUP(M29,Listas!$F$9:$G$17,2,FALSE))</f>
        <v>06</v>
      </c>
      <c r="M29" s="344" t="s">
        <v>455</v>
      </c>
      <c r="N29" s="336">
        <v>3000000</v>
      </c>
      <c r="O29" s="17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9"/>
    </row>
    <row r="30" spans="1:26" s="44" customFormat="1" ht="128.25">
      <c r="A30" s="8"/>
      <c r="B30" s="10" t="str">
        <f>+IFERROR(VLOOKUP(C30,Listas!$L$8:$M$100,2,FALSE),"")</f>
        <v>10090101</v>
      </c>
      <c r="C30" s="329" t="s">
        <v>513</v>
      </c>
      <c r="D30" s="277"/>
      <c r="E30" s="278"/>
      <c r="F30" s="277"/>
      <c r="G30" s="380" t="s">
        <v>1080</v>
      </c>
      <c r="H30" s="9" t="str">
        <f>+IF(I30=""," ",VLOOKUP(I30,Listas!$I$8:$J$10,2,FALSE))</f>
        <v>02</v>
      </c>
      <c r="I30" s="329" t="s">
        <v>467</v>
      </c>
      <c r="J30" s="352">
        <f>+IF(K30=""," ",VLOOKUP(K30,PUC!$B:$C,2,FALSE))</f>
        <v>6208021202</v>
      </c>
      <c r="K30" s="329" t="s">
        <v>800</v>
      </c>
      <c r="L30" s="10" t="str">
        <f>+IF(M30=""," ",VLOOKUP(M30,Listas!$F$9:$G$17,2,FALSE))</f>
        <v>06</v>
      </c>
      <c r="M30" s="344" t="s">
        <v>455</v>
      </c>
      <c r="N30" s="336">
        <f>12000000-1200000</f>
        <v>10800000</v>
      </c>
      <c r="O30" s="17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9"/>
    </row>
    <row r="31" spans="1:26" s="44" customFormat="1" ht="119.25">
      <c r="A31" s="8"/>
      <c r="B31" s="10" t="str">
        <f>+IFERROR(VLOOKUP(C31,Listas!$L$8:$M$100,2,FALSE),"")</f>
        <v>10090101</v>
      </c>
      <c r="C31" s="329" t="s">
        <v>513</v>
      </c>
      <c r="D31" s="277"/>
      <c r="E31" s="278"/>
      <c r="F31" s="277"/>
      <c r="G31" s="380" t="s">
        <v>1081</v>
      </c>
      <c r="H31" s="9" t="str">
        <f>+IF(I31=""," ",VLOOKUP(I31,Listas!$I$8:$J$10,2,FALSE))</f>
        <v>02</v>
      </c>
      <c r="I31" s="329" t="s">
        <v>467</v>
      </c>
      <c r="J31" s="352">
        <f>+IF(K31=""," ",VLOOKUP(K31,PUC!$B:$C,2,FALSE))</f>
        <v>6208021202</v>
      </c>
      <c r="K31" s="329" t="s">
        <v>800</v>
      </c>
      <c r="L31" s="10" t="str">
        <f>+IF(M31=""," ",VLOOKUP(M31,Listas!$F$9:$G$17,2,FALSE))</f>
        <v>06</v>
      </c>
      <c r="M31" s="344" t="s">
        <v>455</v>
      </c>
      <c r="N31" s="336">
        <v>4000000</v>
      </c>
      <c r="O31" s="17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9"/>
    </row>
    <row r="32" spans="1:26" s="44" customFormat="1" ht="263.25" customHeight="1">
      <c r="A32" s="8"/>
      <c r="B32" s="10" t="str">
        <f>+IFERROR(VLOOKUP(C32,Listas!$L$8:$M$100,2,FALSE),"")</f>
        <v>10090101</v>
      </c>
      <c r="C32" s="329" t="s">
        <v>513</v>
      </c>
      <c r="D32" s="277"/>
      <c r="E32" s="278"/>
      <c r="F32" s="277"/>
      <c r="G32" s="380" t="s">
        <v>1091</v>
      </c>
      <c r="H32" s="9" t="str">
        <f>+IF(I32=""," ",VLOOKUP(I32,Listas!$I$8:$J$10,2,FALSE))</f>
        <v>02</v>
      </c>
      <c r="I32" s="329" t="s">
        <v>467</v>
      </c>
      <c r="J32" s="352">
        <f>+IF(K32=""," ",VLOOKUP(K32,PUC!$B:$C,2,FALSE))</f>
        <v>6208021202</v>
      </c>
      <c r="K32" s="329" t="s">
        <v>800</v>
      </c>
      <c r="L32" s="10" t="str">
        <f>+IF(M32=""," ",VLOOKUP(M32,Listas!$F$9:$G$17,2,FALSE))</f>
        <v>06</v>
      </c>
      <c r="M32" s="344" t="s">
        <v>455</v>
      </c>
      <c r="N32" s="336">
        <v>3000000</v>
      </c>
      <c r="O32" s="17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9"/>
    </row>
    <row r="33" spans="1:26" s="44" customFormat="1" ht="113.25" customHeight="1">
      <c r="A33" s="8"/>
      <c r="B33" s="10" t="str">
        <f>+IFERROR(VLOOKUP(C33,Listas!$L$8:$M$100,2,FALSE),"")</f>
        <v>10090101</v>
      </c>
      <c r="C33" s="329" t="s">
        <v>513</v>
      </c>
      <c r="D33" s="277"/>
      <c r="E33" s="278"/>
      <c r="F33" s="277"/>
      <c r="G33" s="380" t="s">
        <v>1082</v>
      </c>
      <c r="H33" s="9" t="str">
        <f>+IF(I33=""," ",VLOOKUP(I33,Listas!$I$8:$J$10,2,FALSE))</f>
        <v>02</v>
      </c>
      <c r="I33" s="329" t="s">
        <v>467</v>
      </c>
      <c r="J33" s="352">
        <f>+IF(K33=""," ",VLOOKUP(K33,PUC!$B:$C,2,FALSE))</f>
        <v>6208021202</v>
      </c>
      <c r="K33" s="329" t="s">
        <v>800</v>
      </c>
      <c r="L33" s="10" t="str">
        <f>+IF(M33=""," ",VLOOKUP(M33,Listas!$F$9:$G$17,2,FALSE))</f>
        <v>06</v>
      </c>
      <c r="M33" s="344" t="s">
        <v>455</v>
      </c>
      <c r="N33" s="336">
        <v>1000000</v>
      </c>
      <c r="O33" s="17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9"/>
    </row>
    <row r="34" spans="1:26" s="44" customFormat="1" ht="89.25">
      <c r="A34" s="8"/>
      <c r="B34" s="10" t="str">
        <f>+IFERROR(VLOOKUP(C34,Listas!$L$8:$M$100,2,FALSE),"")</f>
        <v>10090101</v>
      </c>
      <c r="C34" s="329" t="s">
        <v>513</v>
      </c>
      <c r="D34" s="277"/>
      <c r="E34" s="278"/>
      <c r="F34" s="277"/>
      <c r="G34" s="380" t="s">
        <v>1083</v>
      </c>
      <c r="H34" s="9" t="str">
        <f>+IF(I34=""," ",VLOOKUP(I34,Listas!$I$8:$J$10,2,FALSE))</f>
        <v>02</v>
      </c>
      <c r="I34" s="329" t="s">
        <v>467</v>
      </c>
      <c r="J34" s="352" t="str">
        <f>+IF(K34=""," ",VLOOKUP(K34,PUC!$B:$C,2,FALSE))</f>
        <v xml:space="preserve"> </v>
      </c>
      <c r="K34" s="329"/>
      <c r="L34" s="10" t="str">
        <f>+IF(M34=""," ",VLOOKUP(M34,Listas!$F$9:$G$17,2,FALSE))</f>
        <v xml:space="preserve"> </v>
      </c>
      <c r="M34" s="344"/>
      <c r="N34" s="336"/>
      <c r="O34" s="17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9"/>
    </row>
    <row r="35" spans="1:26" s="44" customFormat="1" ht="216.75" customHeight="1">
      <c r="A35" s="8"/>
      <c r="B35" s="10" t="str">
        <f>+IFERROR(VLOOKUP(C35,Listas!$L$8:$M$100,2,FALSE),"")</f>
        <v>10090101</v>
      </c>
      <c r="C35" s="329" t="s">
        <v>513</v>
      </c>
      <c r="D35" s="277"/>
      <c r="E35" s="278"/>
      <c r="F35" s="277"/>
      <c r="G35" s="380" t="s">
        <v>1084</v>
      </c>
      <c r="H35" s="9" t="str">
        <f>+IF(I35=""," ",VLOOKUP(I35,Listas!$I$8:$J$10,2,FALSE))</f>
        <v>02</v>
      </c>
      <c r="I35" s="329" t="s">
        <v>467</v>
      </c>
      <c r="J35" s="352" t="s">
        <v>1092</v>
      </c>
      <c r="K35" s="329" t="s">
        <v>800</v>
      </c>
      <c r="L35" s="10" t="str">
        <f>+IF(M35=""," ",VLOOKUP(M35,Listas!$F$9:$G$17,2,FALSE))</f>
        <v>06</v>
      </c>
      <c r="M35" s="344" t="s">
        <v>455</v>
      </c>
      <c r="N35" s="336">
        <v>20000000</v>
      </c>
      <c r="O35" s="17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</row>
    <row r="36" spans="1:26" s="44" customFormat="1" ht="38.25">
      <c r="A36" s="8"/>
      <c r="B36" s="10" t="str">
        <f>+IFERROR(VLOOKUP(C36,Listas!$L$8:$M$100,2,FALSE),"")</f>
        <v>10090101</v>
      </c>
      <c r="C36" s="329" t="s">
        <v>513</v>
      </c>
      <c r="D36" s="277"/>
      <c r="E36" s="278"/>
      <c r="F36" s="277"/>
      <c r="G36" s="380" t="s">
        <v>1085</v>
      </c>
      <c r="H36" s="9" t="str">
        <f>+IF(I36=""," ",VLOOKUP(I36,Listas!$I$8:$J$10,2,FALSE))</f>
        <v>04</v>
      </c>
      <c r="I36" s="329" t="s">
        <v>469</v>
      </c>
      <c r="J36" s="352">
        <f>+IF(K36=""," ",VLOOKUP(K36,PUC!$B:$C,2,FALSE))</f>
        <v>6208021811</v>
      </c>
      <c r="K36" s="329" t="s">
        <v>991</v>
      </c>
      <c r="L36" s="10" t="str">
        <f>+IF(M36=""," ",VLOOKUP(M36,Listas!$F$9:$G$17,2,FALSE))</f>
        <v>06</v>
      </c>
      <c r="M36" s="344" t="s">
        <v>455</v>
      </c>
      <c r="N36" s="336">
        <v>10000000</v>
      </c>
      <c r="O36" s="17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9"/>
    </row>
    <row r="37" spans="1:26" s="44" customFormat="1" ht="130.5">
      <c r="A37" s="8"/>
      <c r="B37" s="10" t="str">
        <f>+IFERROR(VLOOKUP(C37,Listas!$L$8:$M$100,2,FALSE),"")</f>
        <v>10090101</v>
      </c>
      <c r="C37" s="329" t="s">
        <v>513</v>
      </c>
      <c r="D37" s="277"/>
      <c r="E37" s="278"/>
      <c r="F37" s="277"/>
      <c r="G37" s="380" t="s">
        <v>1086</v>
      </c>
      <c r="H37" s="9" t="str">
        <f>+IF(I37=""," ",VLOOKUP(I37,Listas!$I$8:$J$10,2,FALSE))</f>
        <v>02</v>
      </c>
      <c r="I37" s="329" t="s">
        <v>467</v>
      </c>
      <c r="J37" s="352">
        <f>+IF(K37=""," ",VLOOKUP(K37,PUC!$B:$C,2,FALSE))</f>
        <v>6208020703</v>
      </c>
      <c r="K37" s="329" t="s">
        <v>831</v>
      </c>
      <c r="L37" s="10" t="str">
        <f>+IF(M37=""," ",VLOOKUP(M37,Listas!$F$9:$G$17,2,FALSE))</f>
        <v>06</v>
      </c>
      <c r="M37" s="344" t="s">
        <v>455</v>
      </c>
      <c r="N37" s="336">
        <v>6200000</v>
      </c>
      <c r="O37" s="17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9"/>
    </row>
    <row r="38" spans="1:26" s="44" customFormat="1" ht="70.5" customHeight="1">
      <c r="A38" s="8"/>
      <c r="B38" s="10" t="str">
        <f>+IFERROR(VLOOKUP(C38,Listas!$L$8:$M$100,2,FALSE),"")</f>
        <v>10090101</v>
      </c>
      <c r="C38" s="329" t="s">
        <v>513</v>
      </c>
      <c r="D38" s="277"/>
      <c r="E38" s="278"/>
      <c r="F38" s="277"/>
      <c r="G38" s="380" t="s">
        <v>1089</v>
      </c>
      <c r="H38" s="9" t="str">
        <f>+IF(I38=""," ",VLOOKUP(I38,Listas!$I$8:$J$10,2,FALSE))</f>
        <v>02</v>
      </c>
      <c r="I38" s="329" t="s">
        <v>467</v>
      </c>
      <c r="J38" s="352">
        <f>+IF(K38=""," ",VLOOKUP(K38,PUC!$B:$C,2,FALSE))</f>
        <v>6208021202</v>
      </c>
      <c r="K38" s="329" t="s">
        <v>800</v>
      </c>
      <c r="L38" s="10" t="str">
        <f>+IF(M38=""," ",VLOOKUP(M38,Listas!$F$9:$G$17,2,FALSE))</f>
        <v>06</v>
      </c>
      <c r="M38" s="344" t="s">
        <v>455</v>
      </c>
      <c r="N38" s="336">
        <f>30000000-3000000</f>
        <v>27000000</v>
      </c>
      <c r="O38" s="17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9"/>
    </row>
    <row r="39" spans="1:26" s="44" customFormat="1" ht="409.5">
      <c r="A39" s="8"/>
      <c r="B39" s="10" t="str">
        <f>+IFERROR(VLOOKUP(C39,Listas!$L$8:$M$100,2,FALSE),"")</f>
        <v>10090101</v>
      </c>
      <c r="C39" s="329" t="s">
        <v>513</v>
      </c>
      <c r="D39" s="277"/>
      <c r="E39" s="278"/>
      <c r="F39" s="277"/>
      <c r="G39" s="380" t="s">
        <v>1087</v>
      </c>
      <c r="H39" s="9" t="str">
        <f>+IF(I39=""," ",VLOOKUP(I39,Listas!$I$8:$J$10,2,FALSE))</f>
        <v>04</v>
      </c>
      <c r="I39" s="329" t="s">
        <v>469</v>
      </c>
      <c r="J39" s="352">
        <f>+IF(K39=""," ",VLOOKUP(K39,PUC!$B:$C,2,FALSE))</f>
        <v>6208021811</v>
      </c>
      <c r="K39" s="329" t="s">
        <v>991</v>
      </c>
      <c r="L39" s="10" t="str">
        <f>+IF(M39=""," ",VLOOKUP(M39,Listas!$F$9:$G$17,2,FALSE))</f>
        <v>06</v>
      </c>
      <c r="M39" s="344" t="s">
        <v>455</v>
      </c>
      <c r="N39" s="336">
        <f>36000000-1500000</f>
        <v>34500000</v>
      </c>
      <c r="O39" s="17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9"/>
    </row>
    <row r="40" spans="1:26" s="44" customFormat="1" ht="38.25">
      <c r="A40" s="8"/>
      <c r="B40" s="10" t="str">
        <f>+IFERROR(VLOOKUP(C40,Listas!$L$8:$M$100,2,FALSE),"")</f>
        <v>10090101</v>
      </c>
      <c r="C40" s="329" t="s">
        <v>513</v>
      </c>
      <c r="D40" s="277"/>
      <c r="E40" s="278"/>
      <c r="F40" s="277"/>
      <c r="G40" s="380"/>
      <c r="H40" s="9" t="str">
        <f>+IF(I40=""," ",VLOOKUP(I40,Listas!$I$8:$J$10,2,FALSE))</f>
        <v>02</v>
      </c>
      <c r="I40" s="329" t="s">
        <v>467</v>
      </c>
      <c r="J40" s="352" t="str">
        <f>+IF(K40=""," ",VLOOKUP(K40,PUC!$B:$C,2,FALSE))</f>
        <v xml:space="preserve"> </v>
      </c>
      <c r="K40" s="329"/>
      <c r="L40" s="10" t="str">
        <f>+IF(M40=""," ",VLOOKUP(M40,Listas!$F$9:$G$17,2,FALSE))</f>
        <v xml:space="preserve"> </v>
      </c>
      <c r="M40" s="344"/>
      <c r="N40" s="336"/>
      <c r="O40" s="17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9"/>
    </row>
    <row r="41" spans="1:26" s="44" customFormat="1" ht="270.75" thickBot="1">
      <c r="A41" s="8"/>
      <c r="B41" s="10" t="str">
        <f>+IFERROR(VLOOKUP(C41,Listas!$L$8:$M$100,2,FALSE),"")</f>
        <v>10090101</v>
      </c>
      <c r="C41" s="329" t="s">
        <v>513</v>
      </c>
      <c r="D41" s="277"/>
      <c r="E41" s="278"/>
      <c r="F41" s="277"/>
      <c r="G41" s="380" t="s">
        <v>1090</v>
      </c>
      <c r="H41" s="9" t="str">
        <f>+IF(I41=""," ",VLOOKUP(I41,Listas!$I$8:$J$10,2,FALSE))</f>
        <v>02</v>
      </c>
      <c r="I41" s="329" t="s">
        <v>467</v>
      </c>
      <c r="J41" s="352">
        <f>+IF(K41=""," ",VLOOKUP(K41,PUC!$B:$C,2,FALSE))</f>
        <v>6208021006</v>
      </c>
      <c r="K41" s="329" t="s">
        <v>851</v>
      </c>
      <c r="L41" s="10" t="str">
        <f>+IF(M41=""," ",VLOOKUP(M41,Listas!$F$9:$G$17,2,FALSE))</f>
        <v>06</v>
      </c>
      <c r="M41" s="344" t="s">
        <v>455</v>
      </c>
      <c r="N41" s="336">
        <v>4000000</v>
      </c>
      <c r="O41" s="17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9"/>
    </row>
    <row r="42" spans="1:26" s="44" customFormat="1" ht="29.25" hidden="1" customHeight="1">
      <c r="A42" s="8"/>
      <c r="B42" s="10" t="str">
        <f>+IFERROR(VLOOKUP(C42,Listas!$L$8:$M$100,2,FALSE),"")</f>
        <v>10090101</v>
      </c>
      <c r="C42" s="329" t="s">
        <v>513</v>
      </c>
      <c r="D42" s="277"/>
      <c r="E42" s="278"/>
      <c r="F42" s="277"/>
      <c r="G42" s="380"/>
      <c r="H42" s="9" t="str">
        <f>+IF(I42=""," ",VLOOKUP(I42,Listas!$I$8:$J$10,2,FALSE))</f>
        <v xml:space="preserve"> </v>
      </c>
      <c r="I42" s="329"/>
      <c r="J42" s="352" t="str">
        <f>+IF(K42=""," ",VLOOKUP(K42,PUC!$B:$C,2,FALSE))</f>
        <v xml:space="preserve"> </v>
      </c>
      <c r="K42" s="329"/>
      <c r="L42" s="10" t="str">
        <f>+IF(M42=""," ",VLOOKUP(M42,Listas!$F$9:$G$17,2,FALSE))</f>
        <v xml:space="preserve"> </v>
      </c>
      <c r="M42" s="344"/>
      <c r="N42" s="336"/>
      <c r="O42" s="17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9"/>
    </row>
    <row r="43" spans="1:26" s="44" customFormat="1" ht="29.25" hidden="1" customHeight="1">
      <c r="A43" s="8"/>
      <c r="B43" s="10" t="str">
        <f>+IFERROR(VLOOKUP(C43,Listas!$L$8:$M$100,2,FALSE),"")</f>
        <v>10090101</v>
      </c>
      <c r="C43" s="329" t="s">
        <v>513</v>
      </c>
      <c r="D43" s="277"/>
      <c r="E43" s="278"/>
      <c r="F43" s="277"/>
      <c r="G43" s="380"/>
      <c r="H43" s="9" t="str">
        <f>+IF(I43=""," ",VLOOKUP(I43,Listas!$I$8:$J$10,2,FALSE))</f>
        <v xml:space="preserve"> </v>
      </c>
      <c r="I43" s="329"/>
      <c r="J43" s="352" t="str">
        <f>+IF(K43=""," ",VLOOKUP(K43,PUC!$B:$C,2,FALSE))</f>
        <v xml:space="preserve"> </v>
      </c>
      <c r="K43" s="329"/>
      <c r="L43" s="10" t="str">
        <f>+IF(M43=""," ",VLOOKUP(M43,Listas!$F$9:$G$17,2,FALSE))</f>
        <v xml:space="preserve"> </v>
      </c>
      <c r="M43" s="344"/>
      <c r="N43" s="336"/>
      <c r="O43" s="17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9"/>
    </row>
    <row r="44" spans="1:26" s="44" customFormat="1" ht="29.25" hidden="1" customHeight="1">
      <c r="A44" s="8"/>
      <c r="B44" s="10" t="str">
        <f>+IFERROR(VLOOKUP(C44,Listas!$L$8:$M$100,2,FALSE),"")</f>
        <v>10090101</v>
      </c>
      <c r="C44" s="329" t="s">
        <v>513</v>
      </c>
      <c r="D44" s="277"/>
      <c r="E44" s="278"/>
      <c r="F44" s="277"/>
      <c r="G44" s="380"/>
      <c r="H44" s="9" t="str">
        <f>+IF(I44=""," ",VLOOKUP(I44,Listas!$I$8:$J$10,2,FALSE))</f>
        <v xml:space="preserve"> </v>
      </c>
      <c r="I44" s="329"/>
      <c r="J44" s="352" t="str">
        <f>+IF(K44=""," ",VLOOKUP(K44,PUC!$B:$C,2,FALSE))</f>
        <v xml:space="preserve"> </v>
      </c>
      <c r="K44" s="329"/>
      <c r="L44" s="10" t="str">
        <f>+IF(M44=""," ",VLOOKUP(M44,Listas!$F$9:$G$17,2,FALSE))</f>
        <v xml:space="preserve"> </v>
      </c>
      <c r="M44" s="344"/>
      <c r="N44" s="336"/>
      <c r="O44" s="17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9"/>
    </row>
    <row r="45" spans="1:26" s="44" customFormat="1" ht="29.25" hidden="1" customHeight="1">
      <c r="A45" s="8"/>
      <c r="B45" s="10" t="str">
        <f>+IFERROR(VLOOKUP(C45,Listas!$L$8:$M$100,2,FALSE),"")</f>
        <v>10090101</v>
      </c>
      <c r="C45" s="329" t="s">
        <v>513</v>
      </c>
      <c r="D45" s="277"/>
      <c r="E45" s="278"/>
      <c r="F45" s="277"/>
      <c r="G45" s="380"/>
      <c r="H45" s="9" t="str">
        <f>+IF(I45=""," ",VLOOKUP(I45,Listas!$I$8:$J$10,2,FALSE))</f>
        <v xml:space="preserve"> </v>
      </c>
      <c r="I45" s="329"/>
      <c r="J45" s="352" t="str">
        <f>+IF(K45=""," ",VLOOKUP(K45,PUC!$B:$C,2,FALSE))</f>
        <v xml:space="preserve"> </v>
      </c>
      <c r="K45" s="329"/>
      <c r="L45" s="10" t="str">
        <f>+IF(M45=""," ",VLOOKUP(M45,Listas!$F$9:$G$17,2,FALSE))</f>
        <v xml:space="preserve"> </v>
      </c>
      <c r="M45" s="344"/>
      <c r="N45" s="336"/>
      <c r="O45" s="17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9"/>
    </row>
    <row r="46" spans="1:26" s="44" customFormat="1" ht="29.25" hidden="1" customHeight="1">
      <c r="A46" s="8"/>
      <c r="B46" s="10" t="str">
        <f>+IFERROR(VLOOKUP(C46,Listas!$L$8:$M$100,2,FALSE),"")</f>
        <v>10090101</v>
      </c>
      <c r="C46" s="329" t="s">
        <v>513</v>
      </c>
      <c r="D46" s="277"/>
      <c r="E46" s="278"/>
      <c r="F46" s="277"/>
      <c r="G46" s="381"/>
      <c r="H46" s="9" t="str">
        <f>+IF(I46=""," ",VLOOKUP(I46,Listas!$I$8:$J$10,2,FALSE))</f>
        <v xml:space="preserve"> </v>
      </c>
      <c r="I46" s="329"/>
      <c r="J46" s="352" t="str">
        <f>+IF(K46=""," ",VLOOKUP(K46,PUC!$B:$C,2,FALSE))</f>
        <v xml:space="preserve"> </v>
      </c>
      <c r="K46" s="329"/>
      <c r="L46" s="10" t="str">
        <f>+IF(M46=""," ",VLOOKUP(M46,Listas!$F$9:$G$17,2,FALSE))</f>
        <v xml:space="preserve"> </v>
      </c>
      <c r="M46" s="344"/>
      <c r="N46" s="336"/>
      <c r="O46" s="17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9"/>
    </row>
    <row r="47" spans="1:26" s="44" customFormat="1" ht="29.25" hidden="1" customHeight="1">
      <c r="A47" s="8"/>
      <c r="B47" s="10" t="str">
        <f>+IFERROR(VLOOKUP(C47,Listas!$L$8:$M$100,2,FALSE),"")</f>
        <v>10090101</v>
      </c>
      <c r="C47" s="329" t="s">
        <v>513</v>
      </c>
      <c r="D47" s="277"/>
      <c r="E47" s="278"/>
      <c r="F47" s="277"/>
      <c r="G47" s="381"/>
      <c r="H47" s="9" t="str">
        <f>+IF(I47=""," ",VLOOKUP(I47,Listas!$I$8:$J$10,2,FALSE))</f>
        <v xml:space="preserve"> </v>
      </c>
      <c r="I47" s="329"/>
      <c r="J47" s="352" t="str">
        <f>+IF(K47=""," ",VLOOKUP(K47,PUC!$B:$C,2,FALSE))</f>
        <v xml:space="preserve"> </v>
      </c>
      <c r="K47" s="329"/>
      <c r="L47" s="10" t="str">
        <f>+IF(M47=""," ",VLOOKUP(M47,Listas!$F$9:$G$17,2,FALSE))</f>
        <v xml:space="preserve"> </v>
      </c>
      <c r="M47" s="344"/>
      <c r="N47" s="336"/>
      <c r="O47" s="17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9"/>
    </row>
    <row r="48" spans="1:26" s="44" customFormat="1" ht="29.25" hidden="1" customHeight="1">
      <c r="A48" s="8"/>
      <c r="B48" s="10" t="str">
        <f>+IFERROR(VLOOKUP(C48,Listas!$L$8:$M$100,2,FALSE),"")</f>
        <v>10090101</v>
      </c>
      <c r="C48" s="329" t="s">
        <v>513</v>
      </c>
      <c r="D48" s="277"/>
      <c r="E48" s="278"/>
      <c r="F48" s="277"/>
      <c r="G48" s="278"/>
      <c r="H48" s="9" t="str">
        <f>+IF(I48=""," ",VLOOKUP(I48,Listas!$I$8:$J$10,2,FALSE))</f>
        <v xml:space="preserve"> </v>
      </c>
      <c r="I48" s="329"/>
      <c r="J48" s="352" t="str">
        <f>+IF(K48=""," ",VLOOKUP(K48,PUC!$B:$C,2,FALSE))</f>
        <v xml:space="preserve"> </v>
      </c>
      <c r="K48" s="329"/>
      <c r="L48" s="10" t="str">
        <f>+IF(M48=""," ",VLOOKUP(M48,Listas!$F$9:$G$17,2,FALSE))</f>
        <v xml:space="preserve"> </v>
      </c>
      <c r="M48" s="344"/>
      <c r="N48" s="336"/>
      <c r="O48" s="17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9"/>
    </row>
    <row r="49" spans="1:26" s="44" customFormat="1" ht="29.25" hidden="1" customHeight="1">
      <c r="A49" s="8"/>
      <c r="B49" s="10" t="str">
        <f>+IFERROR(VLOOKUP(C49,Listas!$L$8:$M$100,2,FALSE),"")</f>
        <v>10090101</v>
      </c>
      <c r="C49" s="329" t="s">
        <v>513</v>
      </c>
      <c r="D49" s="277"/>
      <c r="E49" s="278"/>
      <c r="F49" s="277"/>
      <c r="G49" s="278"/>
      <c r="H49" s="9" t="str">
        <f>+IF(I49=""," ",VLOOKUP(I49,Listas!$I$8:$J$10,2,FALSE))</f>
        <v xml:space="preserve"> </v>
      </c>
      <c r="I49" s="329"/>
      <c r="J49" s="352" t="str">
        <f>+IF(K49=""," ",VLOOKUP(K49,PUC!$B:$C,2,FALSE))</f>
        <v xml:space="preserve"> </v>
      </c>
      <c r="K49" s="329"/>
      <c r="L49" s="10" t="str">
        <f>+IF(M49=""," ",VLOOKUP(M49,Listas!$F$9:$G$17,2,FALSE))</f>
        <v xml:space="preserve"> </v>
      </c>
      <c r="M49" s="344"/>
      <c r="N49" s="336"/>
      <c r="O49" s="17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9"/>
    </row>
    <row r="50" spans="1:26" s="44" customFormat="1" ht="29.25" hidden="1" customHeight="1">
      <c r="A50" s="8"/>
      <c r="B50" s="10" t="str">
        <f>+IFERROR(VLOOKUP(C50,Listas!$L$8:$M$100,2,FALSE),"")</f>
        <v>10090101</v>
      </c>
      <c r="C50" s="329" t="s">
        <v>513</v>
      </c>
      <c r="D50" s="277"/>
      <c r="E50" s="278"/>
      <c r="F50" s="277"/>
      <c r="G50" s="278"/>
      <c r="H50" s="9" t="str">
        <f>+IF(I50=""," ",VLOOKUP(I50,Listas!$I$8:$J$10,2,FALSE))</f>
        <v xml:space="preserve"> </v>
      </c>
      <c r="I50" s="329"/>
      <c r="J50" s="352" t="str">
        <f>+IF(K50=""," ",VLOOKUP(K50,PUC!$B:$C,2,FALSE))</f>
        <v xml:space="preserve"> </v>
      </c>
      <c r="K50" s="329"/>
      <c r="L50" s="10" t="str">
        <f>+IF(M50=""," ",VLOOKUP(M50,Listas!$F$9:$G$17,2,FALSE))</f>
        <v xml:space="preserve"> </v>
      </c>
      <c r="M50" s="344"/>
      <c r="N50" s="336"/>
      <c r="O50" s="17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9"/>
    </row>
    <row r="51" spans="1:26" s="44" customFormat="1" ht="29.25" hidden="1" customHeight="1">
      <c r="A51" s="8"/>
      <c r="B51" s="10" t="str">
        <f>+IFERROR(VLOOKUP(C51,Listas!$L$8:$M$100,2,FALSE),"")</f>
        <v>10090101</v>
      </c>
      <c r="C51" s="329" t="s">
        <v>513</v>
      </c>
      <c r="D51" s="277"/>
      <c r="E51" s="278"/>
      <c r="F51" s="277"/>
      <c r="G51" s="278"/>
      <c r="H51" s="9" t="str">
        <f>+IF(I51=""," ",VLOOKUP(I51,Listas!$I$8:$J$10,2,FALSE))</f>
        <v xml:space="preserve"> </v>
      </c>
      <c r="I51" s="329"/>
      <c r="J51" s="352" t="str">
        <f>+IF(K51=""," ",VLOOKUP(K51,PUC!$B:$C,2,FALSE))</f>
        <v xml:space="preserve"> </v>
      </c>
      <c r="K51" s="329"/>
      <c r="L51" s="10" t="str">
        <f>+IF(M51=""," ",VLOOKUP(M51,Listas!$F$9:$G$17,2,FALSE))</f>
        <v xml:space="preserve"> </v>
      </c>
      <c r="M51" s="344"/>
      <c r="N51" s="336"/>
      <c r="O51" s="17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9"/>
    </row>
    <row r="52" spans="1:26" s="44" customFormat="1" ht="29.25" hidden="1" customHeight="1">
      <c r="A52" s="8"/>
      <c r="B52" s="10" t="str">
        <f>+IFERROR(VLOOKUP(C52,Listas!$L$8:$M$100,2,FALSE),"")</f>
        <v>10090101</v>
      </c>
      <c r="C52" s="329" t="s">
        <v>513</v>
      </c>
      <c r="D52" s="277"/>
      <c r="E52" s="278"/>
      <c r="F52" s="277"/>
      <c r="G52" s="278"/>
      <c r="H52" s="9" t="str">
        <f>+IF(I52=""," ",VLOOKUP(I52,Listas!$I$8:$J$10,2,FALSE))</f>
        <v xml:space="preserve"> </v>
      </c>
      <c r="I52" s="329"/>
      <c r="J52" s="352" t="str">
        <f>+IF(K52=""," ",VLOOKUP(K52,PUC!$B:$C,2,FALSE))</f>
        <v xml:space="preserve"> </v>
      </c>
      <c r="K52" s="329"/>
      <c r="L52" s="10" t="str">
        <f>+IF(M52=""," ",VLOOKUP(M52,Listas!$F$9:$G$17,2,FALSE))</f>
        <v xml:space="preserve"> </v>
      </c>
      <c r="M52" s="344"/>
      <c r="N52" s="336"/>
      <c r="O52" s="17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9"/>
    </row>
    <row r="53" spans="1:26" s="44" customFormat="1" ht="29.25" hidden="1" customHeight="1">
      <c r="A53" s="8"/>
      <c r="B53" s="10" t="str">
        <f>+IFERROR(VLOOKUP(C53,Listas!$L$8:$M$100,2,FALSE),"")</f>
        <v>10090101</v>
      </c>
      <c r="C53" s="329" t="s">
        <v>513</v>
      </c>
      <c r="D53" s="277"/>
      <c r="E53" s="278"/>
      <c r="F53" s="277"/>
      <c r="G53" s="278"/>
      <c r="H53" s="9" t="str">
        <f>+IF(I53=""," ",VLOOKUP(I53,Listas!$I$8:$J$10,2,FALSE))</f>
        <v xml:space="preserve"> </v>
      </c>
      <c r="I53" s="329"/>
      <c r="J53" s="352" t="str">
        <f>+IF(K53=""," ",VLOOKUP(K53,PUC!$B:$C,2,FALSE))</f>
        <v xml:space="preserve"> </v>
      </c>
      <c r="K53" s="329"/>
      <c r="L53" s="10" t="str">
        <f>+IF(M53=""," ",VLOOKUP(M53,Listas!$F$9:$G$17,2,FALSE))</f>
        <v xml:space="preserve"> </v>
      </c>
      <c r="M53" s="344"/>
      <c r="N53" s="336"/>
      <c r="O53" s="17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9"/>
    </row>
    <row r="54" spans="1:26" s="44" customFormat="1" ht="29.25" hidden="1" customHeight="1">
      <c r="A54" s="8"/>
      <c r="B54" s="10" t="str">
        <f>+IFERROR(VLOOKUP(C54,Listas!$L$8:$M$100,2,FALSE),"")</f>
        <v>10090101</v>
      </c>
      <c r="C54" s="329" t="s">
        <v>513</v>
      </c>
      <c r="D54" s="277"/>
      <c r="E54" s="278"/>
      <c r="F54" s="277"/>
      <c r="G54" s="278"/>
      <c r="H54" s="9" t="str">
        <f>+IF(I54=""," ",VLOOKUP(I54,Listas!$I$8:$J$10,2,FALSE))</f>
        <v xml:space="preserve"> </v>
      </c>
      <c r="I54" s="329"/>
      <c r="J54" s="352" t="str">
        <f>+IF(K54=""," ",VLOOKUP(K54,PUC!$B:$C,2,FALSE))</f>
        <v xml:space="preserve"> </v>
      </c>
      <c r="K54" s="329"/>
      <c r="L54" s="10" t="str">
        <f>+IF(M54=""," ",VLOOKUP(M54,Listas!$F$9:$G$17,2,FALSE))</f>
        <v xml:space="preserve"> </v>
      </c>
      <c r="M54" s="344"/>
      <c r="N54" s="336"/>
      <c r="O54" s="17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9"/>
    </row>
    <row r="55" spans="1:26" s="44" customFormat="1" ht="29.25" hidden="1" customHeight="1">
      <c r="A55" s="8"/>
      <c r="B55" s="10" t="str">
        <f>+IFERROR(VLOOKUP(C55,Listas!$L$8:$M$100,2,FALSE),"")</f>
        <v>10090101</v>
      </c>
      <c r="C55" s="329" t="s">
        <v>513</v>
      </c>
      <c r="D55" s="277"/>
      <c r="E55" s="278"/>
      <c r="F55" s="277"/>
      <c r="G55" s="278"/>
      <c r="H55" s="9" t="str">
        <f>+IF(I55=""," ",VLOOKUP(I55,Listas!$I$8:$J$10,2,FALSE))</f>
        <v xml:space="preserve"> </v>
      </c>
      <c r="I55" s="329"/>
      <c r="J55" s="352" t="str">
        <f>+IF(K55=""," ",VLOOKUP(K55,PUC!$B:$C,2,FALSE))</f>
        <v xml:space="preserve"> </v>
      </c>
      <c r="K55" s="329"/>
      <c r="L55" s="10" t="str">
        <f>+IF(M55=""," ",VLOOKUP(M55,Listas!$F$9:$G$17,2,FALSE))</f>
        <v xml:space="preserve"> </v>
      </c>
      <c r="M55" s="344"/>
      <c r="N55" s="336"/>
      <c r="O55" s="17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9"/>
    </row>
    <row r="56" spans="1:26" s="44" customFormat="1" ht="29.25" hidden="1" customHeight="1">
      <c r="A56" s="8"/>
      <c r="B56" s="10" t="str">
        <f>+IFERROR(VLOOKUP(C56,Listas!$L$8:$M$100,2,FALSE),"")</f>
        <v>10090101</v>
      </c>
      <c r="C56" s="329" t="s">
        <v>513</v>
      </c>
      <c r="D56" s="277"/>
      <c r="E56" s="278"/>
      <c r="F56" s="277"/>
      <c r="G56" s="278"/>
      <c r="H56" s="9" t="str">
        <f>+IF(I56=""," ",VLOOKUP(I56,Listas!$I$8:$J$10,2,FALSE))</f>
        <v xml:space="preserve"> </v>
      </c>
      <c r="I56" s="329"/>
      <c r="J56" s="352" t="str">
        <f>+IF(K56=""," ",VLOOKUP(K56,PUC!$B:$C,2,FALSE))</f>
        <v xml:space="preserve"> </v>
      </c>
      <c r="K56" s="329"/>
      <c r="L56" s="10" t="str">
        <f>+IF(M56=""," ",VLOOKUP(M56,Listas!$F$9:$G$17,2,FALSE))</f>
        <v xml:space="preserve"> </v>
      </c>
      <c r="M56" s="344"/>
      <c r="N56" s="336"/>
      <c r="O56" s="17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9"/>
    </row>
    <row r="57" spans="1:26" s="44" customFormat="1" ht="29.25" hidden="1" customHeight="1">
      <c r="A57" s="8"/>
      <c r="B57" s="10" t="str">
        <f>+IFERROR(VLOOKUP(C57,Listas!$L$8:$M$100,2,FALSE),"")</f>
        <v>10090101</v>
      </c>
      <c r="C57" s="329" t="s">
        <v>513</v>
      </c>
      <c r="D57" s="277"/>
      <c r="E57" s="278"/>
      <c r="F57" s="277"/>
      <c r="G57" s="278"/>
      <c r="H57" s="9" t="str">
        <f>+IF(I57=""," ",VLOOKUP(I57,Listas!$I$8:$J$10,2,FALSE))</f>
        <v xml:space="preserve"> </v>
      </c>
      <c r="I57" s="329"/>
      <c r="J57" s="352" t="str">
        <f>+IF(K57=""," ",VLOOKUP(K57,PUC!$B:$C,2,FALSE))</f>
        <v xml:space="preserve"> </v>
      </c>
      <c r="K57" s="329"/>
      <c r="L57" s="10" t="str">
        <f>+IF(M57=""," ",VLOOKUP(M57,Listas!$F$9:$G$17,2,FALSE))</f>
        <v xml:space="preserve"> </v>
      </c>
      <c r="M57" s="344"/>
      <c r="N57" s="336"/>
      <c r="O57" s="17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9"/>
    </row>
    <row r="58" spans="1:26" s="44" customFormat="1" ht="29.25" hidden="1" customHeight="1">
      <c r="A58" s="8"/>
      <c r="B58" s="10" t="str">
        <f>+IFERROR(VLOOKUP(C58,Listas!$L$8:$M$100,2,FALSE),"")</f>
        <v>10090101</v>
      </c>
      <c r="C58" s="329" t="s">
        <v>513</v>
      </c>
      <c r="D58" s="277"/>
      <c r="E58" s="278"/>
      <c r="F58" s="277"/>
      <c r="G58" s="278"/>
      <c r="H58" s="9" t="str">
        <f>+IF(I58=""," ",VLOOKUP(I58,Listas!$I$8:$J$10,2,FALSE))</f>
        <v xml:space="preserve"> </v>
      </c>
      <c r="I58" s="329"/>
      <c r="J58" s="352" t="str">
        <f>+IF(K58=""," ",VLOOKUP(K58,PUC!$B:$C,2,FALSE))</f>
        <v xml:space="preserve"> </v>
      </c>
      <c r="K58" s="329"/>
      <c r="L58" s="10" t="str">
        <f>+IF(M58=""," ",VLOOKUP(M58,Listas!$F$9:$G$17,2,FALSE))</f>
        <v xml:space="preserve"> </v>
      </c>
      <c r="M58" s="344"/>
      <c r="N58" s="336"/>
      <c r="O58" s="17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9"/>
    </row>
    <row r="59" spans="1:26" s="44" customFormat="1" ht="29.25" hidden="1" customHeight="1">
      <c r="A59" s="8"/>
      <c r="B59" s="10" t="str">
        <f>+IFERROR(VLOOKUP(C59,Listas!$L$8:$M$100,2,FALSE),"")</f>
        <v>10090101</v>
      </c>
      <c r="C59" s="329" t="s">
        <v>513</v>
      </c>
      <c r="D59" s="277"/>
      <c r="E59" s="278"/>
      <c r="F59" s="277"/>
      <c r="G59" s="278"/>
      <c r="H59" s="9" t="str">
        <f>+IF(I59=""," ",VLOOKUP(I59,Listas!$I$8:$J$10,2,FALSE))</f>
        <v xml:space="preserve"> </v>
      </c>
      <c r="I59" s="329"/>
      <c r="J59" s="352" t="str">
        <f>+IF(K59=""," ",VLOOKUP(K59,PUC!$B:$C,2,FALSE))</f>
        <v xml:space="preserve"> </v>
      </c>
      <c r="K59" s="329"/>
      <c r="L59" s="10" t="str">
        <f>+IF(M59=""," ",VLOOKUP(M59,Listas!$F$9:$G$17,2,FALSE))</f>
        <v xml:space="preserve"> </v>
      </c>
      <c r="M59" s="344"/>
      <c r="N59" s="336"/>
      <c r="O59" s="17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9"/>
    </row>
    <row r="60" spans="1:26" s="44" customFormat="1" ht="29.25" hidden="1" customHeight="1">
      <c r="A60" s="8"/>
      <c r="B60" s="10" t="str">
        <f>+IFERROR(VLOOKUP(C60,Listas!$L$8:$M$100,2,FALSE),"")</f>
        <v>10090101</v>
      </c>
      <c r="C60" s="329" t="s">
        <v>513</v>
      </c>
      <c r="D60" s="277"/>
      <c r="E60" s="278"/>
      <c r="F60" s="277"/>
      <c r="G60" s="278"/>
      <c r="H60" s="9" t="str">
        <f>+IF(I60=""," ",VLOOKUP(I60,Listas!$I$8:$J$10,2,FALSE))</f>
        <v xml:space="preserve"> </v>
      </c>
      <c r="I60" s="329"/>
      <c r="J60" s="352" t="str">
        <f>+IF(K60=""," ",VLOOKUP(K60,PUC!$B:$C,2,FALSE))</f>
        <v xml:space="preserve"> </v>
      </c>
      <c r="K60" s="329"/>
      <c r="L60" s="10" t="str">
        <f>+IF(M60=""," ",VLOOKUP(M60,Listas!$F$9:$G$17,2,FALSE))</f>
        <v xml:space="preserve"> </v>
      </c>
      <c r="M60" s="344"/>
      <c r="N60" s="336"/>
      <c r="O60" s="17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9"/>
    </row>
    <row r="61" spans="1:26" s="44" customFormat="1" ht="29.25" hidden="1" customHeight="1">
      <c r="A61" s="8"/>
      <c r="B61" s="10" t="str">
        <f>+IFERROR(VLOOKUP(C61,Listas!$L$8:$M$100,2,FALSE),"")</f>
        <v>10090101</v>
      </c>
      <c r="C61" s="329" t="s">
        <v>513</v>
      </c>
      <c r="D61" s="277"/>
      <c r="E61" s="278"/>
      <c r="F61" s="277"/>
      <c r="G61" s="278"/>
      <c r="H61" s="9" t="str">
        <f>+IF(I61=""," ",VLOOKUP(I61,Listas!$I$8:$J$10,2,FALSE))</f>
        <v xml:space="preserve"> </v>
      </c>
      <c r="I61" s="329"/>
      <c r="J61" s="352" t="str">
        <f>+IF(K61=""," ",VLOOKUP(K61,PUC!$B:$C,2,FALSE))</f>
        <v xml:space="preserve"> </v>
      </c>
      <c r="K61" s="329"/>
      <c r="L61" s="10" t="str">
        <f>+IF(M61=""," ",VLOOKUP(M61,Listas!$F$9:$G$17,2,FALSE))</f>
        <v xml:space="preserve"> </v>
      </c>
      <c r="M61" s="344"/>
      <c r="N61" s="336"/>
      <c r="O61" s="17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9"/>
    </row>
    <row r="62" spans="1:26" s="44" customFormat="1" ht="29.25" hidden="1" customHeight="1">
      <c r="A62" s="8"/>
      <c r="B62" s="10" t="str">
        <f>+IFERROR(VLOOKUP(C62,Listas!$L$8:$M$100,2,FALSE),"")</f>
        <v>10090101</v>
      </c>
      <c r="C62" s="329" t="s">
        <v>513</v>
      </c>
      <c r="D62" s="277"/>
      <c r="E62" s="278"/>
      <c r="F62" s="277"/>
      <c r="G62" s="278"/>
      <c r="H62" s="9" t="str">
        <f>+IF(I62=""," ",VLOOKUP(I62,Listas!$I$8:$J$10,2,FALSE))</f>
        <v xml:space="preserve"> </v>
      </c>
      <c r="I62" s="329"/>
      <c r="J62" s="352" t="str">
        <f>+IF(K62=""," ",VLOOKUP(K62,PUC!$B:$C,2,FALSE))</f>
        <v xml:space="preserve"> </v>
      </c>
      <c r="K62" s="329"/>
      <c r="L62" s="10" t="str">
        <f>+IF(M62=""," ",VLOOKUP(M62,Listas!$F$9:$G$17,2,FALSE))</f>
        <v xml:space="preserve"> </v>
      </c>
      <c r="M62" s="344"/>
      <c r="N62" s="336"/>
      <c r="O62" s="17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9"/>
    </row>
    <row r="63" spans="1:26" s="44" customFormat="1" ht="29.25" hidden="1" customHeight="1">
      <c r="A63" s="8"/>
      <c r="B63" s="10" t="str">
        <f>+IFERROR(VLOOKUP(C63,Listas!$L$8:$M$100,2,FALSE),"")</f>
        <v>10090101</v>
      </c>
      <c r="C63" s="329" t="s">
        <v>513</v>
      </c>
      <c r="D63" s="277"/>
      <c r="E63" s="278"/>
      <c r="F63" s="277"/>
      <c r="G63" s="278"/>
      <c r="H63" s="9" t="str">
        <f>+IF(I63=""," ",VLOOKUP(I63,Listas!$I$8:$J$10,2,FALSE))</f>
        <v xml:space="preserve"> </v>
      </c>
      <c r="I63" s="329"/>
      <c r="J63" s="352" t="str">
        <f>+IF(K63=""," ",VLOOKUP(K63,PUC!$B:$C,2,FALSE))</f>
        <v xml:space="preserve"> </v>
      </c>
      <c r="K63" s="329"/>
      <c r="L63" s="10" t="str">
        <f>+IF(M63=""," ",VLOOKUP(M63,Listas!$F$9:$G$17,2,FALSE))</f>
        <v xml:space="preserve"> </v>
      </c>
      <c r="M63" s="344"/>
      <c r="N63" s="336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9"/>
    </row>
    <row r="64" spans="1:26" s="44" customFormat="1" ht="29.25" hidden="1" customHeight="1">
      <c r="A64" s="8"/>
      <c r="B64" s="10" t="str">
        <f>+IFERROR(VLOOKUP(C64,Listas!$L$8:$M$100,2,FALSE),"")</f>
        <v>10090101</v>
      </c>
      <c r="C64" s="329" t="s">
        <v>513</v>
      </c>
      <c r="D64" s="277"/>
      <c r="E64" s="278"/>
      <c r="F64" s="277"/>
      <c r="G64" s="278"/>
      <c r="H64" s="9" t="str">
        <f>+IF(I64=""," ",VLOOKUP(I64,Listas!$I$8:$J$10,2,FALSE))</f>
        <v xml:space="preserve"> </v>
      </c>
      <c r="I64" s="329"/>
      <c r="J64" s="352" t="str">
        <f>+IF(K64=""," ",VLOOKUP(K64,PUC!$B:$C,2,FALSE))</f>
        <v xml:space="preserve"> </v>
      </c>
      <c r="K64" s="329"/>
      <c r="L64" s="10" t="str">
        <f>+IF(M64=""," ",VLOOKUP(M64,Listas!$F$9:$G$17,2,FALSE))</f>
        <v xml:space="preserve"> </v>
      </c>
      <c r="M64" s="344"/>
      <c r="N64" s="336"/>
      <c r="O64" s="17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9"/>
    </row>
    <row r="65" spans="1:26" s="44" customFormat="1" ht="29.25" hidden="1" customHeight="1">
      <c r="A65" s="8"/>
      <c r="B65" s="10" t="str">
        <f>+IFERROR(VLOOKUP(C65,Listas!$L$8:$M$100,2,FALSE),"")</f>
        <v>10090101</v>
      </c>
      <c r="C65" s="329" t="s">
        <v>513</v>
      </c>
      <c r="D65" s="277"/>
      <c r="E65" s="278"/>
      <c r="F65" s="277"/>
      <c r="G65" s="278"/>
      <c r="H65" s="9" t="str">
        <f>+IF(I65=""," ",VLOOKUP(I65,Listas!$I$8:$J$10,2,FALSE))</f>
        <v xml:space="preserve"> </v>
      </c>
      <c r="I65" s="329"/>
      <c r="J65" s="352" t="str">
        <f>+IF(K65=""," ",VLOOKUP(K65,PUC!$B:$C,2,FALSE))</f>
        <v xml:space="preserve"> </v>
      </c>
      <c r="K65" s="329"/>
      <c r="L65" s="10" t="str">
        <f>+IF(M65=""," ",VLOOKUP(M65,Listas!$F$9:$G$17,2,FALSE))</f>
        <v xml:space="preserve"> </v>
      </c>
      <c r="M65" s="344"/>
      <c r="N65" s="336"/>
      <c r="O65" s="17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9"/>
    </row>
    <row r="66" spans="1:26" s="44" customFormat="1" ht="29.25" hidden="1" customHeight="1">
      <c r="A66" s="8"/>
      <c r="B66" s="10" t="str">
        <f>+IFERROR(VLOOKUP(C66,Listas!$L$8:$M$100,2,FALSE),"")</f>
        <v>10090101</v>
      </c>
      <c r="C66" s="329" t="s">
        <v>513</v>
      </c>
      <c r="D66" s="277"/>
      <c r="E66" s="278"/>
      <c r="F66" s="277"/>
      <c r="G66" s="278"/>
      <c r="H66" s="9" t="str">
        <f>+IF(I66=""," ",VLOOKUP(I66,Listas!$I$8:$J$10,2,FALSE))</f>
        <v xml:space="preserve"> </v>
      </c>
      <c r="I66" s="329"/>
      <c r="J66" s="352" t="str">
        <f>+IF(K66=""," ",VLOOKUP(K66,PUC!$B:$C,2,FALSE))</f>
        <v xml:space="preserve"> </v>
      </c>
      <c r="K66" s="329"/>
      <c r="L66" s="10" t="str">
        <f>+IF(M66=""," ",VLOOKUP(M66,Listas!$F$9:$G$17,2,FALSE))</f>
        <v xml:space="preserve"> </v>
      </c>
      <c r="M66" s="344"/>
      <c r="N66" s="336"/>
      <c r="O66" s="17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</row>
    <row r="67" spans="1:26" s="44" customFormat="1" ht="29.25" hidden="1" customHeight="1">
      <c r="A67" s="8"/>
      <c r="B67" s="10" t="str">
        <f>+IFERROR(VLOOKUP(C67,Listas!$L$8:$M$100,2,FALSE),"")</f>
        <v>10090101</v>
      </c>
      <c r="C67" s="329" t="s">
        <v>513</v>
      </c>
      <c r="D67" s="277"/>
      <c r="E67" s="278"/>
      <c r="F67" s="277"/>
      <c r="G67" s="278"/>
      <c r="H67" s="9" t="str">
        <f>+IF(I67=""," ",VLOOKUP(I67,Listas!$I$8:$J$10,2,FALSE))</f>
        <v xml:space="preserve"> </v>
      </c>
      <c r="I67" s="329"/>
      <c r="J67" s="352" t="str">
        <f>+IF(K67=""," ",VLOOKUP(K67,PUC!$B:$C,2,FALSE))</f>
        <v xml:space="preserve"> </v>
      </c>
      <c r="K67" s="329"/>
      <c r="L67" s="10" t="str">
        <f>+IF(M67=""," ",VLOOKUP(M67,Listas!$F$9:$G$17,2,FALSE))</f>
        <v xml:space="preserve"> </v>
      </c>
      <c r="M67" s="344"/>
      <c r="N67" s="336"/>
      <c r="O67" s="17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9"/>
    </row>
    <row r="68" spans="1:26" s="44" customFormat="1" ht="29.25" hidden="1" customHeight="1">
      <c r="A68" s="8"/>
      <c r="B68" s="10" t="str">
        <f>+IFERROR(VLOOKUP(C68,Listas!$L$8:$M$100,2,FALSE),"")</f>
        <v>10090101</v>
      </c>
      <c r="C68" s="329" t="s">
        <v>513</v>
      </c>
      <c r="D68" s="277"/>
      <c r="E68" s="278"/>
      <c r="F68" s="277"/>
      <c r="G68" s="278"/>
      <c r="H68" s="9" t="str">
        <f>+IF(I68=""," ",VLOOKUP(I68,Listas!$I$8:$J$10,2,FALSE))</f>
        <v xml:space="preserve"> </v>
      </c>
      <c r="I68" s="329"/>
      <c r="J68" s="352" t="str">
        <f>+IF(K68=""," ",VLOOKUP(K68,PUC!$B:$C,2,FALSE))</f>
        <v xml:space="preserve"> </v>
      </c>
      <c r="K68" s="329"/>
      <c r="L68" s="10" t="str">
        <f>+IF(M68=""," ",VLOOKUP(M68,Listas!$F$9:$G$17,2,FALSE))</f>
        <v xml:space="preserve"> </v>
      </c>
      <c r="M68" s="344"/>
      <c r="N68" s="336"/>
      <c r="O68" s="17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9"/>
    </row>
    <row r="69" spans="1:26" s="44" customFormat="1" ht="29.25" hidden="1" customHeight="1">
      <c r="A69" s="8"/>
      <c r="B69" s="10" t="str">
        <f>+IFERROR(VLOOKUP(C69,Listas!$L$8:$M$100,2,FALSE),"")</f>
        <v>10090101</v>
      </c>
      <c r="C69" s="329" t="s">
        <v>513</v>
      </c>
      <c r="D69" s="277"/>
      <c r="E69" s="278"/>
      <c r="F69" s="277"/>
      <c r="G69" s="278"/>
      <c r="H69" s="9" t="str">
        <f>+IF(I69=""," ",VLOOKUP(I69,Listas!$I$8:$J$10,2,FALSE))</f>
        <v xml:space="preserve"> </v>
      </c>
      <c r="I69" s="329"/>
      <c r="J69" s="352" t="str">
        <f>+IF(K69=""," ",VLOOKUP(K69,PUC!$B:$C,2,FALSE))</f>
        <v xml:space="preserve"> </v>
      </c>
      <c r="K69" s="329"/>
      <c r="L69" s="10" t="str">
        <f>+IF(M69=""," ",VLOOKUP(M69,Listas!$F$9:$G$17,2,FALSE))</f>
        <v xml:space="preserve"> </v>
      </c>
      <c r="M69" s="344"/>
      <c r="N69" s="336"/>
      <c r="O69" s="17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9"/>
    </row>
    <row r="70" spans="1:26" s="44" customFormat="1" ht="29.25" hidden="1" customHeight="1">
      <c r="A70" s="8"/>
      <c r="B70" s="10" t="str">
        <f>+IFERROR(VLOOKUP(C70,Listas!$L$8:$M$100,2,FALSE),"")</f>
        <v>10090101</v>
      </c>
      <c r="C70" s="329" t="s">
        <v>513</v>
      </c>
      <c r="D70" s="277"/>
      <c r="E70" s="278"/>
      <c r="F70" s="277"/>
      <c r="G70" s="278"/>
      <c r="H70" s="9" t="str">
        <f>+IF(I70=""," ",VLOOKUP(I70,Listas!$I$8:$J$10,2,FALSE))</f>
        <v xml:space="preserve"> </v>
      </c>
      <c r="I70" s="329"/>
      <c r="J70" s="352" t="str">
        <f>+IF(K70=""," ",VLOOKUP(K70,PUC!$B:$C,2,FALSE))</f>
        <v xml:space="preserve"> </v>
      </c>
      <c r="K70" s="329"/>
      <c r="L70" s="10" t="str">
        <f>+IF(M70=""," ",VLOOKUP(M70,Listas!$F$9:$G$17,2,FALSE))</f>
        <v xml:space="preserve"> </v>
      </c>
      <c r="M70" s="344"/>
      <c r="N70" s="336"/>
      <c r="O70" s="17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9"/>
    </row>
    <row r="71" spans="1:26" s="44" customFormat="1" ht="29.25" hidden="1" customHeight="1">
      <c r="A71" s="8"/>
      <c r="B71" s="10" t="str">
        <f>+IFERROR(VLOOKUP(C71,Listas!$L$8:$M$100,2,FALSE),"")</f>
        <v>10090101</v>
      </c>
      <c r="C71" s="329" t="s">
        <v>513</v>
      </c>
      <c r="D71" s="277"/>
      <c r="E71" s="278"/>
      <c r="F71" s="277"/>
      <c r="G71" s="278"/>
      <c r="H71" s="9" t="str">
        <f>+IF(I71=""," ",VLOOKUP(I71,Listas!$I$8:$J$10,2,FALSE))</f>
        <v xml:space="preserve"> </v>
      </c>
      <c r="I71" s="329"/>
      <c r="J71" s="352" t="str">
        <f>+IF(K71=""," ",VLOOKUP(K71,PUC!$B:$C,2,FALSE))</f>
        <v xml:space="preserve"> </v>
      </c>
      <c r="K71" s="329"/>
      <c r="L71" s="10" t="str">
        <f>+IF(M71=""," ",VLOOKUP(M71,Listas!$F$9:$G$17,2,FALSE))</f>
        <v xml:space="preserve"> </v>
      </c>
      <c r="M71" s="344"/>
      <c r="N71" s="336"/>
      <c r="O71" s="17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9"/>
    </row>
    <row r="72" spans="1:26" s="44" customFormat="1" ht="29.25" hidden="1" customHeight="1">
      <c r="A72" s="8"/>
      <c r="B72" s="10" t="str">
        <f>+IFERROR(VLOOKUP(C72,Listas!$L$8:$M$100,2,FALSE),"")</f>
        <v>10090101</v>
      </c>
      <c r="C72" s="329" t="s">
        <v>513</v>
      </c>
      <c r="D72" s="277"/>
      <c r="E72" s="278"/>
      <c r="F72" s="277"/>
      <c r="G72" s="278"/>
      <c r="H72" s="9" t="str">
        <f>+IF(I72=""," ",VLOOKUP(I72,Listas!$I$8:$J$10,2,FALSE))</f>
        <v xml:space="preserve"> </v>
      </c>
      <c r="I72" s="329"/>
      <c r="J72" s="352" t="str">
        <f>+IF(K72=""," ",VLOOKUP(K72,PUC!$B:$C,2,FALSE))</f>
        <v xml:space="preserve"> </v>
      </c>
      <c r="K72" s="329"/>
      <c r="L72" s="10" t="str">
        <f>+IF(M72=""," ",VLOOKUP(M72,Listas!$F$9:$G$17,2,FALSE))</f>
        <v xml:space="preserve"> </v>
      </c>
      <c r="M72" s="344"/>
      <c r="N72" s="336"/>
      <c r="O72" s="17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9"/>
    </row>
    <row r="73" spans="1:26" s="44" customFormat="1" ht="29.25" hidden="1" customHeight="1">
      <c r="A73" s="8"/>
      <c r="B73" s="10" t="str">
        <f>+IFERROR(VLOOKUP(C73,Listas!$L$8:$M$100,2,FALSE),"")</f>
        <v>10090101</v>
      </c>
      <c r="C73" s="329" t="s">
        <v>513</v>
      </c>
      <c r="D73" s="277"/>
      <c r="E73" s="278"/>
      <c r="F73" s="277"/>
      <c r="G73" s="278"/>
      <c r="H73" s="9" t="str">
        <f>+IF(I73=""," ",VLOOKUP(I73,Listas!$I$8:$J$10,2,FALSE))</f>
        <v xml:space="preserve"> </v>
      </c>
      <c r="I73" s="329"/>
      <c r="J73" s="352" t="str">
        <f>+IF(K73=""," ",VLOOKUP(K73,PUC!$B:$C,2,FALSE))</f>
        <v xml:space="preserve"> </v>
      </c>
      <c r="K73" s="329"/>
      <c r="L73" s="10" t="str">
        <f>+IF(M73=""," ",VLOOKUP(M73,Listas!$F$9:$G$17,2,FALSE))</f>
        <v xml:space="preserve"> </v>
      </c>
      <c r="M73" s="344"/>
      <c r="N73" s="336"/>
      <c r="O73" s="17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9"/>
    </row>
    <row r="74" spans="1:26" s="44" customFormat="1" ht="29.25" hidden="1" customHeight="1">
      <c r="A74" s="8"/>
      <c r="B74" s="10" t="str">
        <f>+IFERROR(VLOOKUP(C74,Listas!$L$8:$M$100,2,FALSE),"")</f>
        <v>10090101</v>
      </c>
      <c r="C74" s="329" t="s">
        <v>513</v>
      </c>
      <c r="D74" s="277"/>
      <c r="E74" s="278"/>
      <c r="F74" s="277"/>
      <c r="G74" s="278"/>
      <c r="H74" s="9" t="str">
        <f>+IF(I74=""," ",VLOOKUP(I74,Listas!$I$8:$J$10,2,FALSE))</f>
        <v xml:space="preserve"> </v>
      </c>
      <c r="I74" s="329"/>
      <c r="J74" s="352" t="str">
        <f>+IF(K74=""," ",VLOOKUP(K74,PUC!$B:$C,2,FALSE))</f>
        <v xml:space="preserve"> </v>
      </c>
      <c r="K74" s="329"/>
      <c r="L74" s="10" t="str">
        <f>+IF(M74=""," ",VLOOKUP(M74,Listas!$F$9:$G$17,2,FALSE))</f>
        <v xml:space="preserve"> </v>
      </c>
      <c r="M74" s="344"/>
      <c r="N74" s="336"/>
      <c r="O74" s="17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9"/>
    </row>
    <row r="75" spans="1:26" s="44" customFormat="1" ht="29.25" hidden="1" customHeight="1">
      <c r="A75" s="8"/>
      <c r="B75" s="10" t="str">
        <f>+IFERROR(VLOOKUP(C75,Listas!$L$8:$M$100,2,FALSE),"")</f>
        <v>10090101</v>
      </c>
      <c r="C75" s="329" t="s">
        <v>513</v>
      </c>
      <c r="D75" s="277"/>
      <c r="E75" s="278"/>
      <c r="F75" s="277"/>
      <c r="G75" s="278"/>
      <c r="H75" s="9" t="str">
        <f>+IF(I75=""," ",VLOOKUP(I75,Listas!$I$8:$J$10,2,FALSE))</f>
        <v xml:space="preserve"> </v>
      </c>
      <c r="I75" s="329"/>
      <c r="J75" s="352" t="str">
        <f>+IF(K75=""," ",VLOOKUP(K75,PUC!$B:$C,2,FALSE))</f>
        <v xml:space="preserve"> </v>
      </c>
      <c r="K75" s="329"/>
      <c r="L75" s="10" t="str">
        <f>+IF(M75=""," ",VLOOKUP(M75,Listas!$F$9:$G$17,2,FALSE))</f>
        <v xml:space="preserve"> </v>
      </c>
      <c r="M75" s="344"/>
      <c r="N75" s="336"/>
      <c r="O75" s="17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9"/>
    </row>
    <row r="76" spans="1:26" s="44" customFormat="1" ht="29.25" hidden="1" customHeight="1">
      <c r="A76" s="8"/>
      <c r="B76" s="10" t="str">
        <f>+IFERROR(VLOOKUP(C76,Listas!$L$8:$M$100,2,FALSE),"")</f>
        <v>10090101</v>
      </c>
      <c r="C76" s="329" t="s">
        <v>513</v>
      </c>
      <c r="D76" s="277"/>
      <c r="E76" s="278"/>
      <c r="F76" s="277"/>
      <c r="G76" s="278"/>
      <c r="H76" s="9" t="str">
        <f>+IF(I76=""," ",VLOOKUP(I76,Listas!$I$8:$J$10,2,FALSE))</f>
        <v xml:space="preserve"> </v>
      </c>
      <c r="I76" s="329"/>
      <c r="J76" s="352" t="str">
        <f>+IF(K76=""," ",VLOOKUP(K76,PUC!$B:$C,2,FALSE))</f>
        <v xml:space="preserve"> </v>
      </c>
      <c r="K76" s="329"/>
      <c r="L76" s="10" t="str">
        <f>+IF(M76=""," ",VLOOKUP(M76,Listas!$F$9:$G$17,2,FALSE))</f>
        <v xml:space="preserve"> </v>
      </c>
      <c r="M76" s="344"/>
      <c r="N76" s="336"/>
      <c r="O76" s="17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9"/>
    </row>
    <row r="77" spans="1:26" s="44" customFormat="1" ht="29.25" hidden="1" customHeight="1">
      <c r="A77" s="8"/>
      <c r="B77" s="10" t="str">
        <f>+IFERROR(VLOOKUP(C77,Listas!$L$8:$M$100,2,FALSE),"")</f>
        <v>10090101</v>
      </c>
      <c r="C77" s="329" t="s">
        <v>513</v>
      </c>
      <c r="D77" s="277"/>
      <c r="E77" s="278"/>
      <c r="F77" s="277"/>
      <c r="G77" s="278"/>
      <c r="H77" s="9" t="str">
        <f>+IF(I77=""," ",VLOOKUP(I77,Listas!$I$8:$J$10,2,FALSE))</f>
        <v xml:space="preserve"> </v>
      </c>
      <c r="I77" s="329"/>
      <c r="J77" s="352" t="str">
        <f>+IF(K77=""," ",VLOOKUP(K77,PUC!$B:$C,2,FALSE))</f>
        <v xml:space="preserve"> </v>
      </c>
      <c r="K77" s="329"/>
      <c r="L77" s="10" t="str">
        <f>+IF(M77=""," ",VLOOKUP(M77,Listas!$F$9:$G$17,2,FALSE))</f>
        <v xml:space="preserve"> </v>
      </c>
      <c r="M77" s="344"/>
      <c r="N77" s="336"/>
      <c r="O77" s="17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9"/>
    </row>
    <row r="78" spans="1:26" s="44" customFormat="1" ht="29.25" hidden="1" customHeight="1">
      <c r="A78" s="8"/>
      <c r="B78" s="10" t="str">
        <f>+IFERROR(VLOOKUP(C78,Listas!$L$8:$M$100,2,FALSE),"")</f>
        <v>10090101</v>
      </c>
      <c r="C78" s="329" t="s">
        <v>513</v>
      </c>
      <c r="D78" s="277"/>
      <c r="E78" s="278"/>
      <c r="F78" s="277"/>
      <c r="G78" s="278"/>
      <c r="H78" s="9" t="str">
        <f>+IF(I78=""," ",VLOOKUP(I78,Listas!$I$8:$J$10,2,FALSE))</f>
        <v xml:space="preserve"> </v>
      </c>
      <c r="I78" s="329"/>
      <c r="J78" s="352" t="str">
        <f>+IF(K78=""," ",VLOOKUP(K78,PUC!$B:$C,2,FALSE))</f>
        <v xml:space="preserve"> </v>
      </c>
      <c r="K78" s="329"/>
      <c r="L78" s="10" t="str">
        <f>+IF(M78=""," ",VLOOKUP(M78,Listas!$F$9:$G$17,2,FALSE))</f>
        <v xml:space="preserve"> </v>
      </c>
      <c r="M78" s="344"/>
      <c r="N78" s="336"/>
      <c r="O78" s="17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9"/>
    </row>
    <row r="79" spans="1:26" s="44" customFormat="1" ht="29.25" hidden="1" customHeight="1">
      <c r="A79" s="8"/>
      <c r="B79" s="10" t="str">
        <f>+IFERROR(VLOOKUP(C79,Listas!$L$8:$M$100,2,FALSE),"")</f>
        <v>10090101</v>
      </c>
      <c r="C79" s="329" t="s">
        <v>513</v>
      </c>
      <c r="D79" s="277"/>
      <c r="E79" s="278"/>
      <c r="F79" s="277"/>
      <c r="G79" s="278"/>
      <c r="H79" s="9" t="str">
        <f>+IF(I79=""," ",VLOOKUP(I79,Listas!$I$8:$J$10,2,FALSE))</f>
        <v xml:space="preserve"> </v>
      </c>
      <c r="I79" s="329"/>
      <c r="J79" s="352" t="str">
        <f>+IF(K79=""," ",VLOOKUP(K79,PUC!$B:$C,2,FALSE))</f>
        <v xml:space="preserve"> </v>
      </c>
      <c r="K79" s="329"/>
      <c r="L79" s="10" t="str">
        <f>+IF(M79=""," ",VLOOKUP(M79,Listas!$F$9:$G$17,2,FALSE))</f>
        <v xml:space="preserve"> </v>
      </c>
      <c r="M79" s="344"/>
      <c r="N79" s="336"/>
      <c r="O79" s="17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9"/>
    </row>
    <row r="80" spans="1:26" s="44" customFormat="1" ht="29.25" hidden="1" customHeight="1">
      <c r="A80" s="8"/>
      <c r="B80" s="10" t="str">
        <f>+IFERROR(VLOOKUP(C80,Listas!$L$8:$M$100,2,FALSE),"")</f>
        <v>10090101</v>
      </c>
      <c r="C80" s="329" t="s">
        <v>513</v>
      </c>
      <c r="D80" s="277"/>
      <c r="E80" s="278"/>
      <c r="F80" s="277"/>
      <c r="G80" s="278"/>
      <c r="H80" s="9" t="str">
        <f>+IF(I80=""," ",VLOOKUP(I80,Listas!$I$8:$J$10,2,FALSE))</f>
        <v xml:space="preserve"> </v>
      </c>
      <c r="I80" s="329"/>
      <c r="J80" s="352" t="str">
        <f>+IF(K80=""," ",VLOOKUP(K80,PUC!$B:$C,2,FALSE))</f>
        <v xml:space="preserve"> </v>
      </c>
      <c r="K80" s="329"/>
      <c r="L80" s="10" t="str">
        <f>+IF(M80=""," ",VLOOKUP(M80,Listas!$F$9:$G$17,2,FALSE))</f>
        <v xml:space="preserve"> </v>
      </c>
      <c r="M80" s="344"/>
      <c r="N80" s="336"/>
      <c r="O80" s="17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9"/>
    </row>
    <row r="81" spans="1:26" s="44" customFormat="1" ht="29.25" hidden="1" customHeight="1">
      <c r="A81" s="8"/>
      <c r="B81" s="10" t="str">
        <f>+IFERROR(VLOOKUP(C81,Listas!$L$8:$M$100,2,FALSE),"")</f>
        <v>10090101</v>
      </c>
      <c r="C81" s="329" t="s">
        <v>513</v>
      </c>
      <c r="D81" s="277"/>
      <c r="E81" s="278"/>
      <c r="F81" s="277"/>
      <c r="G81" s="278"/>
      <c r="H81" s="9" t="str">
        <f>+IF(I81=""," ",VLOOKUP(I81,Listas!$I$8:$J$10,2,FALSE))</f>
        <v xml:space="preserve"> </v>
      </c>
      <c r="I81" s="329"/>
      <c r="J81" s="352" t="str">
        <f>+IF(K81=""," ",VLOOKUP(K81,PUC!$B:$C,2,FALSE))</f>
        <v xml:space="preserve"> </v>
      </c>
      <c r="K81" s="329"/>
      <c r="L81" s="10" t="str">
        <f>+IF(M81=""," ",VLOOKUP(M81,Listas!$F$9:$G$17,2,FALSE))</f>
        <v xml:space="preserve"> </v>
      </c>
      <c r="M81" s="344"/>
      <c r="N81" s="336"/>
      <c r="O81" s="17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9"/>
    </row>
    <row r="82" spans="1:26" s="44" customFormat="1" ht="29.25" hidden="1" customHeight="1">
      <c r="A82" s="8"/>
      <c r="B82" s="10" t="str">
        <f>+IFERROR(VLOOKUP(C82,Listas!$L$8:$M$100,2,FALSE),"")</f>
        <v>10090101</v>
      </c>
      <c r="C82" s="329" t="s">
        <v>513</v>
      </c>
      <c r="D82" s="277"/>
      <c r="E82" s="278"/>
      <c r="F82" s="277"/>
      <c r="G82" s="278"/>
      <c r="H82" s="9" t="str">
        <f>+IF(I82=""," ",VLOOKUP(I82,Listas!$I$8:$J$10,2,FALSE))</f>
        <v xml:space="preserve"> </v>
      </c>
      <c r="I82" s="329"/>
      <c r="J82" s="352" t="str">
        <f>+IF(K82=""," ",VLOOKUP(K82,PUC!$B:$C,2,FALSE))</f>
        <v xml:space="preserve"> </v>
      </c>
      <c r="K82" s="329"/>
      <c r="L82" s="10" t="str">
        <f>+IF(M82=""," ",VLOOKUP(M82,Listas!$F$9:$G$17,2,FALSE))</f>
        <v xml:space="preserve"> </v>
      </c>
      <c r="M82" s="344"/>
      <c r="N82" s="336"/>
      <c r="O82" s="17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9"/>
    </row>
    <row r="83" spans="1:26" s="44" customFormat="1" ht="29.25" hidden="1" customHeight="1">
      <c r="A83" s="8"/>
      <c r="B83" s="10" t="str">
        <f>+IFERROR(VLOOKUP(C83,Listas!$L$8:$M$100,2,FALSE),"")</f>
        <v>10090101</v>
      </c>
      <c r="C83" s="329" t="s">
        <v>513</v>
      </c>
      <c r="D83" s="277"/>
      <c r="E83" s="278"/>
      <c r="F83" s="277"/>
      <c r="G83" s="278"/>
      <c r="H83" s="9" t="str">
        <f>+IF(I83=""," ",VLOOKUP(I83,Listas!$I$8:$J$10,2,FALSE))</f>
        <v xml:space="preserve"> </v>
      </c>
      <c r="I83" s="329"/>
      <c r="J83" s="352" t="str">
        <f>+IF(K83=""," ",VLOOKUP(K83,PUC!$B:$C,2,FALSE))</f>
        <v xml:space="preserve"> </v>
      </c>
      <c r="K83" s="329"/>
      <c r="L83" s="10" t="str">
        <f>+IF(M83=""," ",VLOOKUP(M83,Listas!$F$9:$G$17,2,FALSE))</f>
        <v xml:space="preserve"> </v>
      </c>
      <c r="M83" s="344"/>
      <c r="N83" s="336"/>
      <c r="O83" s="17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9"/>
    </row>
    <row r="84" spans="1:26" s="44" customFormat="1" ht="29.25" hidden="1" customHeight="1">
      <c r="A84" s="8"/>
      <c r="B84" s="10" t="str">
        <f>+IFERROR(VLOOKUP(C84,Listas!$L$8:$M$100,2,FALSE),"")</f>
        <v>10090101</v>
      </c>
      <c r="C84" s="329" t="s">
        <v>513</v>
      </c>
      <c r="D84" s="277"/>
      <c r="E84" s="278"/>
      <c r="F84" s="277"/>
      <c r="G84" s="278"/>
      <c r="H84" s="9" t="str">
        <f>+IF(I84=""," ",VLOOKUP(I84,Listas!$I$8:$J$10,2,FALSE))</f>
        <v xml:space="preserve"> </v>
      </c>
      <c r="I84" s="329"/>
      <c r="J84" s="352" t="str">
        <f>+IF(K84=""," ",VLOOKUP(K84,PUC!$B:$C,2,FALSE))</f>
        <v xml:space="preserve"> </v>
      </c>
      <c r="K84" s="329"/>
      <c r="L84" s="10" t="str">
        <f>+IF(M84=""," ",VLOOKUP(M84,Listas!$F$9:$G$17,2,FALSE))</f>
        <v xml:space="preserve"> </v>
      </c>
      <c r="M84" s="344"/>
      <c r="N84" s="336"/>
      <c r="O84" s="17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9"/>
    </row>
    <row r="85" spans="1:26" s="44" customFormat="1" ht="29.25" hidden="1" customHeight="1">
      <c r="A85" s="8"/>
      <c r="B85" s="10" t="str">
        <f>+IFERROR(VLOOKUP(C85,Listas!$L$8:$M$100,2,FALSE),"")</f>
        <v>10090101</v>
      </c>
      <c r="C85" s="329" t="s">
        <v>513</v>
      </c>
      <c r="D85" s="277"/>
      <c r="E85" s="278"/>
      <c r="F85" s="277"/>
      <c r="G85" s="278"/>
      <c r="H85" s="9" t="str">
        <f>+IF(I85=""," ",VLOOKUP(I85,Listas!$I$8:$J$10,2,FALSE))</f>
        <v xml:space="preserve"> </v>
      </c>
      <c r="I85" s="329"/>
      <c r="J85" s="352" t="str">
        <f>+IF(K85=""," ",VLOOKUP(K85,PUC!$B:$C,2,FALSE))</f>
        <v xml:space="preserve"> </v>
      </c>
      <c r="K85" s="329"/>
      <c r="L85" s="10" t="str">
        <f>+IF(M85=""," ",VLOOKUP(M85,Listas!$F$9:$G$17,2,FALSE))</f>
        <v xml:space="preserve"> </v>
      </c>
      <c r="M85" s="344"/>
      <c r="N85" s="336"/>
      <c r="O85" s="17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9"/>
    </row>
    <row r="86" spans="1:26" s="44" customFormat="1" ht="29.25" hidden="1" customHeight="1">
      <c r="A86" s="8"/>
      <c r="B86" s="10" t="str">
        <f>+IFERROR(VLOOKUP(C86,Listas!$L$8:$M$100,2,FALSE),"")</f>
        <v>10090101</v>
      </c>
      <c r="C86" s="329" t="s">
        <v>513</v>
      </c>
      <c r="D86" s="277"/>
      <c r="E86" s="278"/>
      <c r="F86" s="277"/>
      <c r="G86" s="278"/>
      <c r="H86" s="9" t="str">
        <f>+IF(I86=""," ",VLOOKUP(I86,Listas!$I$8:$J$10,2,FALSE))</f>
        <v xml:space="preserve"> </v>
      </c>
      <c r="I86" s="329"/>
      <c r="J86" s="352" t="str">
        <f>+IF(K86=""," ",VLOOKUP(K86,PUC!$B:$C,2,FALSE))</f>
        <v xml:space="preserve"> </v>
      </c>
      <c r="K86" s="329"/>
      <c r="L86" s="10" t="str">
        <f>+IF(M86=""," ",VLOOKUP(M86,Listas!$F$9:$G$17,2,FALSE))</f>
        <v xml:space="preserve"> </v>
      </c>
      <c r="M86" s="344"/>
      <c r="N86" s="336"/>
      <c r="O86" s="17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9"/>
    </row>
    <row r="87" spans="1:26" s="44" customFormat="1" ht="29.25" hidden="1" customHeight="1">
      <c r="A87" s="8"/>
      <c r="B87" s="10" t="str">
        <f>+IFERROR(VLOOKUP(C87,Listas!$L$8:$M$100,2,FALSE),"")</f>
        <v>10090101</v>
      </c>
      <c r="C87" s="329" t="s">
        <v>513</v>
      </c>
      <c r="D87" s="277"/>
      <c r="E87" s="278"/>
      <c r="F87" s="277"/>
      <c r="G87" s="278"/>
      <c r="H87" s="9" t="str">
        <f>+IF(I87=""," ",VLOOKUP(I87,Listas!$I$8:$J$10,2,FALSE))</f>
        <v xml:space="preserve"> </v>
      </c>
      <c r="I87" s="329"/>
      <c r="J87" s="352" t="str">
        <f>+IF(K87=""," ",VLOOKUP(K87,PUC!$B:$C,2,FALSE))</f>
        <v xml:space="preserve"> </v>
      </c>
      <c r="K87" s="329"/>
      <c r="L87" s="10" t="str">
        <f>+IF(M87=""," ",VLOOKUP(M87,Listas!$F$9:$G$17,2,FALSE))</f>
        <v xml:space="preserve"> </v>
      </c>
      <c r="M87" s="344"/>
      <c r="N87" s="336"/>
      <c r="O87" s="17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9"/>
    </row>
    <row r="88" spans="1:26" s="44" customFormat="1" ht="29.25" hidden="1" customHeight="1">
      <c r="A88" s="8"/>
      <c r="B88" s="10" t="str">
        <f>+IFERROR(VLOOKUP(C88,Listas!$L$8:$M$100,2,FALSE),"")</f>
        <v>10090101</v>
      </c>
      <c r="C88" s="329" t="s">
        <v>513</v>
      </c>
      <c r="D88" s="277"/>
      <c r="E88" s="278"/>
      <c r="F88" s="277"/>
      <c r="G88" s="278"/>
      <c r="H88" s="9" t="str">
        <f>+IF(I88=""," ",VLOOKUP(I88,Listas!$I$8:$J$10,2,FALSE))</f>
        <v xml:space="preserve"> </v>
      </c>
      <c r="I88" s="329"/>
      <c r="J88" s="352" t="str">
        <f>+IF(K88=""," ",VLOOKUP(K88,PUC!$B:$C,2,FALSE))</f>
        <v xml:space="preserve"> </v>
      </c>
      <c r="K88" s="329"/>
      <c r="L88" s="10" t="str">
        <f>+IF(M88=""," ",VLOOKUP(M88,Listas!$F$9:$G$17,2,FALSE))</f>
        <v xml:space="preserve"> </v>
      </c>
      <c r="M88" s="344"/>
      <c r="N88" s="336"/>
      <c r="O88" s="17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9"/>
    </row>
    <row r="89" spans="1:26" s="44" customFormat="1" ht="29.25" hidden="1" customHeight="1">
      <c r="A89" s="8"/>
      <c r="B89" s="10" t="str">
        <f>+IFERROR(VLOOKUP(C89,Listas!$L$8:$M$100,2,FALSE),"")</f>
        <v>10090101</v>
      </c>
      <c r="C89" s="329" t="s">
        <v>513</v>
      </c>
      <c r="D89" s="277"/>
      <c r="E89" s="278"/>
      <c r="F89" s="277"/>
      <c r="G89" s="278"/>
      <c r="H89" s="9" t="str">
        <f>+IF(I89=""," ",VLOOKUP(I89,Listas!$I$8:$J$10,2,FALSE))</f>
        <v xml:space="preserve"> </v>
      </c>
      <c r="I89" s="329"/>
      <c r="J89" s="352" t="str">
        <f>+IF(K89=""," ",VLOOKUP(K89,PUC!$B:$C,2,FALSE))</f>
        <v xml:space="preserve"> </v>
      </c>
      <c r="K89" s="329"/>
      <c r="L89" s="10" t="str">
        <f>+IF(M89=""," ",VLOOKUP(M89,Listas!$F$9:$G$17,2,FALSE))</f>
        <v xml:space="preserve"> </v>
      </c>
      <c r="M89" s="344"/>
      <c r="N89" s="336"/>
      <c r="O89" s="17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9"/>
    </row>
    <row r="90" spans="1:26" s="44" customFormat="1" ht="29.25" hidden="1" customHeight="1">
      <c r="A90" s="8"/>
      <c r="B90" s="10" t="str">
        <f>+IFERROR(VLOOKUP(C90,Listas!$L$8:$M$100,2,FALSE),"")</f>
        <v>10090101</v>
      </c>
      <c r="C90" s="329" t="s">
        <v>513</v>
      </c>
      <c r="D90" s="277"/>
      <c r="E90" s="278"/>
      <c r="F90" s="277"/>
      <c r="G90" s="278"/>
      <c r="H90" s="9" t="str">
        <f>+IF(I90=""," ",VLOOKUP(I90,Listas!$I$8:$J$10,2,FALSE))</f>
        <v xml:space="preserve"> </v>
      </c>
      <c r="I90" s="329"/>
      <c r="J90" s="352" t="str">
        <f>+IF(K90=""," ",VLOOKUP(K90,PUC!$B:$C,2,FALSE))</f>
        <v xml:space="preserve"> </v>
      </c>
      <c r="K90" s="329"/>
      <c r="L90" s="10" t="str">
        <f>+IF(M90=""," ",VLOOKUP(M90,Listas!$F$9:$G$17,2,FALSE))</f>
        <v xml:space="preserve"> </v>
      </c>
      <c r="M90" s="344"/>
      <c r="N90" s="336"/>
      <c r="O90" s="17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9"/>
    </row>
    <row r="91" spans="1:26" s="44" customFormat="1" ht="29.25" hidden="1" customHeight="1">
      <c r="A91" s="8"/>
      <c r="B91" s="10" t="str">
        <f>+IFERROR(VLOOKUP(C91,Listas!$L$8:$M$100,2,FALSE),"")</f>
        <v>10090101</v>
      </c>
      <c r="C91" s="329" t="s">
        <v>513</v>
      </c>
      <c r="D91" s="277"/>
      <c r="E91" s="278"/>
      <c r="F91" s="277"/>
      <c r="G91" s="278"/>
      <c r="H91" s="9" t="str">
        <f>+IF(I91=""," ",VLOOKUP(I91,Listas!$I$8:$J$10,2,FALSE))</f>
        <v xml:space="preserve"> </v>
      </c>
      <c r="I91" s="329"/>
      <c r="J91" s="352" t="str">
        <f>+IF(K91=""," ",VLOOKUP(K91,PUC!$B:$C,2,FALSE))</f>
        <v xml:space="preserve"> </v>
      </c>
      <c r="K91" s="329"/>
      <c r="L91" s="10" t="str">
        <f>+IF(M91=""," ",VLOOKUP(M91,Listas!$F$9:$G$17,2,FALSE))</f>
        <v xml:space="preserve"> </v>
      </c>
      <c r="M91" s="344"/>
      <c r="N91" s="336"/>
      <c r="O91" s="17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9"/>
    </row>
    <row r="92" spans="1:26" s="44" customFormat="1" ht="29.25" hidden="1" customHeight="1">
      <c r="A92" s="8"/>
      <c r="B92" s="10" t="str">
        <f>+IFERROR(VLOOKUP(C92,Listas!$L$8:$M$100,2,FALSE),"")</f>
        <v>10090101</v>
      </c>
      <c r="C92" s="329" t="s">
        <v>513</v>
      </c>
      <c r="D92" s="277"/>
      <c r="E92" s="278"/>
      <c r="F92" s="277"/>
      <c r="G92" s="278"/>
      <c r="H92" s="9" t="str">
        <f>+IF(I92=""," ",VLOOKUP(I92,Listas!$I$8:$J$10,2,FALSE))</f>
        <v xml:space="preserve"> </v>
      </c>
      <c r="I92" s="329"/>
      <c r="J92" s="352" t="str">
        <f>+IF(K92=""," ",VLOOKUP(K92,PUC!$B:$C,2,FALSE))</f>
        <v xml:space="preserve"> </v>
      </c>
      <c r="K92" s="329"/>
      <c r="L92" s="10" t="str">
        <f>+IF(M92=""," ",VLOOKUP(M92,Listas!$F$9:$G$17,2,FALSE))</f>
        <v xml:space="preserve"> </v>
      </c>
      <c r="M92" s="344"/>
      <c r="N92" s="336"/>
      <c r="O92" s="17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9"/>
    </row>
    <row r="93" spans="1:26" s="44" customFormat="1" ht="29.25" hidden="1" customHeight="1">
      <c r="A93" s="8"/>
      <c r="B93" s="10" t="str">
        <f>+IFERROR(VLOOKUP(C93,Listas!$L$8:$M$100,2,FALSE),"")</f>
        <v>10090101</v>
      </c>
      <c r="C93" s="329" t="s">
        <v>513</v>
      </c>
      <c r="D93" s="277"/>
      <c r="E93" s="278"/>
      <c r="F93" s="277"/>
      <c r="G93" s="278"/>
      <c r="H93" s="9" t="str">
        <f>+IF(I93=""," ",VLOOKUP(I93,Listas!$I$8:$J$10,2,FALSE))</f>
        <v xml:space="preserve"> </v>
      </c>
      <c r="I93" s="329"/>
      <c r="J93" s="352" t="str">
        <f>+IF(K93=""," ",VLOOKUP(K93,PUC!$B:$C,2,FALSE))</f>
        <v xml:space="preserve"> </v>
      </c>
      <c r="K93" s="329"/>
      <c r="L93" s="10" t="str">
        <f>+IF(M93=""," ",VLOOKUP(M93,Listas!$F$9:$G$17,2,FALSE))</f>
        <v xml:space="preserve"> </v>
      </c>
      <c r="M93" s="344"/>
      <c r="N93" s="336"/>
      <c r="O93" s="17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9"/>
    </row>
    <row r="94" spans="1:26" s="44" customFormat="1" ht="29.25" hidden="1" customHeight="1">
      <c r="A94" s="8"/>
      <c r="B94" s="10" t="str">
        <f>+IFERROR(VLOOKUP(C94,Listas!$L$8:$M$100,2,FALSE),"")</f>
        <v>10090101</v>
      </c>
      <c r="C94" s="329" t="s">
        <v>513</v>
      </c>
      <c r="D94" s="277"/>
      <c r="E94" s="278"/>
      <c r="F94" s="277"/>
      <c r="G94" s="278"/>
      <c r="H94" s="9" t="str">
        <f>+IF(I94=""," ",VLOOKUP(I94,Listas!$I$8:$J$10,2,FALSE))</f>
        <v xml:space="preserve"> </v>
      </c>
      <c r="I94" s="329"/>
      <c r="J94" s="352" t="str">
        <f>+IF(K94=""," ",VLOOKUP(K94,PUC!$B:$C,2,FALSE))</f>
        <v xml:space="preserve"> </v>
      </c>
      <c r="K94" s="329"/>
      <c r="L94" s="10" t="str">
        <f>+IF(M94=""," ",VLOOKUP(M94,Listas!$F$9:$G$17,2,FALSE))</f>
        <v xml:space="preserve"> </v>
      </c>
      <c r="M94" s="344"/>
      <c r="N94" s="336"/>
      <c r="O94" s="17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9"/>
    </row>
    <row r="95" spans="1:26" s="44" customFormat="1" ht="29.25" hidden="1" customHeight="1">
      <c r="A95" s="8"/>
      <c r="B95" s="10" t="str">
        <f>+IFERROR(VLOOKUP(C95,Listas!$L$8:$M$100,2,FALSE),"")</f>
        <v>10090101</v>
      </c>
      <c r="C95" s="329" t="s">
        <v>513</v>
      </c>
      <c r="D95" s="277"/>
      <c r="E95" s="278"/>
      <c r="F95" s="277"/>
      <c r="G95" s="278"/>
      <c r="H95" s="9" t="str">
        <f>+IF(I95=""," ",VLOOKUP(I95,Listas!$I$8:$J$10,2,FALSE))</f>
        <v xml:space="preserve"> </v>
      </c>
      <c r="I95" s="329"/>
      <c r="J95" s="352" t="str">
        <f>+IF(K95=""," ",VLOOKUP(K95,PUC!$B:$C,2,FALSE))</f>
        <v xml:space="preserve"> </v>
      </c>
      <c r="K95" s="329"/>
      <c r="L95" s="10" t="str">
        <f>+IF(M95=""," ",VLOOKUP(M95,Listas!$F$9:$G$17,2,FALSE))</f>
        <v xml:space="preserve"> </v>
      </c>
      <c r="M95" s="344"/>
      <c r="N95" s="336"/>
      <c r="O95" s="17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9"/>
    </row>
    <row r="96" spans="1:26" s="44" customFormat="1" ht="29.25" hidden="1" customHeight="1">
      <c r="A96" s="8"/>
      <c r="B96" s="10" t="str">
        <f>+IFERROR(VLOOKUP(C96,Listas!$L$8:$M$100,2,FALSE),"")</f>
        <v>10090101</v>
      </c>
      <c r="C96" s="329" t="s">
        <v>513</v>
      </c>
      <c r="D96" s="277"/>
      <c r="E96" s="278"/>
      <c r="F96" s="277"/>
      <c r="G96" s="278"/>
      <c r="H96" s="9" t="str">
        <f>+IF(I96=""," ",VLOOKUP(I96,Listas!$I$8:$J$10,2,FALSE))</f>
        <v xml:space="preserve"> </v>
      </c>
      <c r="I96" s="329"/>
      <c r="J96" s="352" t="str">
        <f>+IF(K96=""," ",VLOOKUP(K96,PUC!$B:$C,2,FALSE))</f>
        <v xml:space="preserve"> </v>
      </c>
      <c r="K96" s="329"/>
      <c r="L96" s="10" t="str">
        <f>+IF(M96=""," ",VLOOKUP(M96,Listas!$F$9:$G$17,2,FALSE))</f>
        <v xml:space="preserve"> </v>
      </c>
      <c r="M96" s="344"/>
      <c r="N96" s="336"/>
      <c r="O96" s="17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9"/>
    </row>
    <row r="97" spans="1:29" s="44" customFormat="1" ht="29.25" hidden="1" customHeight="1">
      <c r="A97" s="8"/>
      <c r="B97" s="10" t="str">
        <f>+IFERROR(VLOOKUP(C97,Listas!$L$8:$M$100,2,FALSE),"")</f>
        <v>10090101</v>
      </c>
      <c r="C97" s="329" t="s">
        <v>513</v>
      </c>
      <c r="D97" s="277"/>
      <c r="E97" s="278"/>
      <c r="F97" s="277"/>
      <c r="G97" s="278"/>
      <c r="H97" s="9" t="str">
        <f>+IF(I97=""," ",VLOOKUP(I97,Listas!$I$8:$J$10,2,FALSE))</f>
        <v xml:space="preserve"> </v>
      </c>
      <c r="I97" s="329"/>
      <c r="J97" s="352" t="str">
        <f>+IF(K97=""," ",VLOOKUP(K97,PUC!$B:$C,2,FALSE))</f>
        <v xml:space="preserve"> </v>
      </c>
      <c r="K97" s="329"/>
      <c r="L97" s="10" t="str">
        <f>+IF(M97=""," ",VLOOKUP(M97,Listas!$F$9:$G$17,2,FALSE))</f>
        <v xml:space="preserve"> </v>
      </c>
      <c r="M97" s="344"/>
      <c r="N97" s="336"/>
      <c r="O97" s="17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9"/>
    </row>
    <row r="98" spans="1:29" s="44" customFormat="1" ht="29.25" hidden="1" customHeight="1">
      <c r="A98" s="8"/>
      <c r="B98" s="10" t="str">
        <f>+IFERROR(VLOOKUP(C98,Listas!$L$8:$M$100,2,FALSE),"")</f>
        <v>10090101</v>
      </c>
      <c r="C98" s="329" t="s">
        <v>513</v>
      </c>
      <c r="D98" s="277"/>
      <c r="E98" s="278"/>
      <c r="F98" s="277"/>
      <c r="G98" s="278"/>
      <c r="H98" s="9" t="str">
        <f>+IF(I98=""," ",VLOOKUP(I98,Listas!$I$8:$J$10,2,FALSE))</f>
        <v xml:space="preserve"> </v>
      </c>
      <c r="I98" s="329"/>
      <c r="J98" s="352" t="str">
        <f>+IF(K98=""," ",VLOOKUP(K98,PUC!$B:$C,2,FALSE))</f>
        <v xml:space="preserve"> </v>
      </c>
      <c r="K98" s="329"/>
      <c r="L98" s="10" t="str">
        <f>+IF(M98=""," ",VLOOKUP(M98,Listas!$F$9:$G$17,2,FALSE))</f>
        <v xml:space="preserve"> </v>
      </c>
      <c r="M98" s="344"/>
      <c r="N98" s="336"/>
      <c r="O98" s="17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</row>
    <row r="99" spans="1:29" s="44" customFormat="1" ht="29.25" hidden="1" customHeight="1">
      <c r="A99" s="8"/>
      <c r="B99" s="10" t="str">
        <f>+IFERROR(VLOOKUP(C99,Listas!$L$8:$M$100,2,FALSE),"")</f>
        <v>10090101</v>
      </c>
      <c r="C99" s="329" t="s">
        <v>513</v>
      </c>
      <c r="D99" s="277"/>
      <c r="E99" s="278"/>
      <c r="F99" s="277"/>
      <c r="G99" s="278"/>
      <c r="H99" s="9" t="str">
        <f>+IF(I99=""," ",VLOOKUP(I99,Listas!$I$8:$J$10,2,FALSE))</f>
        <v xml:space="preserve"> </v>
      </c>
      <c r="I99" s="329"/>
      <c r="J99" s="352" t="str">
        <f>+IF(K99=""," ",VLOOKUP(K99,PUC!$B:$C,2,FALSE))</f>
        <v xml:space="preserve"> </v>
      </c>
      <c r="K99" s="329"/>
      <c r="L99" s="10" t="str">
        <f>+IF(M99=""," ",VLOOKUP(M99,Listas!$F$9:$G$17,2,FALSE))</f>
        <v xml:space="preserve"> </v>
      </c>
      <c r="M99" s="344"/>
      <c r="N99" s="336"/>
      <c r="O99" s="17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9"/>
    </row>
    <row r="100" spans="1:29" s="44" customFormat="1" ht="29.25" hidden="1" customHeight="1">
      <c r="A100" s="8"/>
      <c r="B100" s="10" t="str">
        <f>+IFERROR(VLOOKUP(C100,Listas!$L$8:$M$100,2,FALSE),"")</f>
        <v>10090101</v>
      </c>
      <c r="C100" s="329" t="s">
        <v>513</v>
      </c>
      <c r="D100" s="277"/>
      <c r="E100" s="278"/>
      <c r="F100" s="277"/>
      <c r="G100" s="278"/>
      <c r="H100" s="9" t="str">
        <f>+IF(I100=""," ",VLOOKUP(I100,Listas!$I$8:$J$10,2,FALSE))</f>
        <v xml:space="preserve"> </v>
      </c>
      <c r="I100" s="329"/>
      <c r="J100" s="352" t="str">
        <f>+IF(K100=""," ",VLOOKUP(K100,PUC!$B:$C,2,FALSE))</f>
        <v xml:space="preserve"> </v>
      </c>
      <c r="K100" s="329"/>
      <c r="L100" s="10" t="str">
        <f>+IF(M100=""," ",VLOOKUP(M100,Listas!$F$9:$G$17,2,FALSE))</f>
        <v xml:space="preserve"> </v>
      </c>
      <c r="M100" s="344"/>
      <c r="N100" s="336"/>
      <c r="O100" s="17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9"/>
    </row>
    <row r="101" spans="1:29" s="45" customFormat="1" ht="29.25" hidden="1" customHeight="1" thickBot="1">
      <c r="A101" s="8"/>
      <c r="B101" s="10" t="str">
        <f>+IFERROR(VLOOKUP(C101,Listas!$L$8:$M$100,2,FALSE),"")</f>
        <v>10090101</v>
      </c>
      <c r="C101" s="329" t="s">
        <v>513</v>
      </c>
      <c r="D101" s="273"/>
      <c r="E101" s="274"/>
      <c r="F101" s="273"/>
      <c r="G101" s="274"/>
      <c r="H101" s="9" t="str">
        <f>+IF(I101=""," ",VLOOKUP(I101,Listas!$I$8:$J$10,2,FALSE))</f>
        <v xml:space="preserve"> </v>
      </c>
      <c r="I101" s="329"/>
      <c r="J101" s="352" t="str">
        <f>+IF(K101=""," ",VLOOKUP(K101,PUC!$B:$C,2,FALSE))</f>
        <v xml:space="preserve"> </v>
      </c>
      <c r="K101" s="329"/>
      <c r="L101" s="10" t="str">
        <f>+IF(M101=""," ",VLOOKUP(M101,Listas!$F$9:$G$17,2,FALSE))</f>
        <v xml:space="preserve"> </v>
      </c>
      <c r="M101" s="344"/>
      <c r="N101" s="335"/>
      <c r="O101" s="17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9"/>
      <c r="AA101" s="44"/>
    </row>
    <row r="102" spans="1:29" ht="26.25" customHeight="1" thickBot="1">
      <c r="A102" s="196"/>
      <c r="B102" s="501" t="s">
        <v>280</v>
      </c>
      <c r="C102" s="502"/>
      <c r="D102" s="502"/>
      <c r="E102" s="502"/>
      <c r="F102" s="502"/>
      <c r="G102" s="502"/>
      <c r="H102" s="502"/>
      <c r="I102" s="502"/>
      <c r="J102" s="502"/>
      <c r="K102" s="502"/>
      <c r="L102" s="502"/>
      <c r="M102" s="502"/>
      <c r="N102" s="387">
        <f>SUM(N14:N101)</f>
        <v>319090000</v>
      </c>
    </row>
    <row r="103" spans="1:29" ht="13.5" customHeight="1" thickBot="1">
      <c r="A103" s="6"/>
      <c r="B103" s="21"/>
      <c r="C103" s="282"/>
      <c r="D103" s="282"/>
      <c r="E103" s="282"/>
      <c r="F103" s="282"/>
      <c r="G103" s="282"/>
      <c r="H103" s="283"/>
      <c r="I103" s="356"/>
      <c r="J103" s="284"/>
      <c r="K103" s="356"/>
      <c r="L103" s="316"/>
      <c r="M103" s="345"/>
      <c r="N103" s="337"/>
    </row>
    <row r="104" spans="1:29" s="47" customFormat="1" ht="19.5" customHeight="1">
      <c r="A104" s="22"/>
      <c r="B104" s="23"/>
      <c r="C104" s="330"/>
      <c r="D104" s="24"/>
      <c r="E104" s="23"/>
      <c r="F104" s="24"/>
      <c r="G104" s="24"/>
      <c r="H104" s="24"/>
      <c r="I104" s="330"/>
      <c r="J104" s="24"/>
      <c r="K104" s="359"/>
      <c r="L104" s="317"/>
      <c r="M104" s="346"/>
      <c r="N104" s="338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5"/>
      <c r="AA104" s="40"/>
      <c r="AB104" s="39"/>
    </row>
    <row r="105" spans="1:29" s="47" customFormat="1" ht="34.5" customHeight="1">
      <c r="A105" s="22"/>
      <c r="B105" s="27" t="s">
        <v>10</v>
      </c>
      <c r="C105" s="331"/>
      <c r="D105" s="28"/>
      <c r="E105" s="272" t="s">
        <v>131</v>
      </c>
      <c r="F105" s="29"/>
      <c r="G105" s="29"/>
      <c r="H105" s="29"/>
      <c r="I105" s="357"/>
      <c r="J105" s="29"/>
      <c r="K105" s="360" t="s">
        <v>11</v>
      </c>
      <c r="L105" s="318"/>
      <c r="M105" s="347"/>
      <c r="N105" s="339"/>
      <c r="O105" s="30"/>
      <c r="P105" s="30"/>
      <c r="Q105" s="31"/>
      <c r="R105" s="31"/>
      <c r="S105" s="31"/>
      <c r="T105" s="31"/>
      <c r="U105" s="31"/>
      <c r="V105" s="31"/>
      <c r="W105" s="31"/>
      <c r="X105" s="31"/>
      <c r="Y105" s="31"/>
      <c r="Z105" s="32"/>
      <c r="AA105" s="40"/>
      <c r="AB105" s="39"/>
      <c r="AC105" s="39"/>
    </row>
    <row r="106" spans="1:29" s="47" customFormat="1" ht="19.5" customHeight="1">
      <c r="A106" s="22"/>
      <c r="B106" s="518" t="s">
        <v>1093</v>
      </c>
      <c r="C106" s="519"/>
      <c r="D106" s="520"/>
      <c r="E106" s="518" t="s">
        <v>1093</v>
      </c>
      <c r="F106" s="521"/>
      <c r="G106" s="28"/>
      <c r="H106" s="33"/>
      <c r="I106" s="332"/>
      <c r="J106" s="33"/>
      <c r="K106" s="361" t="s">
        <v>247</v>
      </c>
      <c r="L106" s="319" t="str">
        <f>+INGRESOS!J109</f>
        <v>Jaime Alonso Velez Mazo</v>
      </c>
      <c r="M106" s="348"/>
      <c r="N106" s="340"/>
      <c r="O106" s="34"/>
      <c r="P106" s="34"/>
      <c r="Q106" s="31"/>
      <c r="R106" s="31"/>
      <c r="S106" s="31"/>
      <c r="T106" s="31"/>
      <c r="U106" s="31"/>
      <c r="V106" s="31"/>
      <c r="W106" s="31"/>
      <c r="X106" s="31"/>
      <c r="Y106" s="31"/>
      <c r="Z106" s="32"/>
      <c r="AA106" s="40"/>
      <c r="AB106" s="39"/>
      <c r="AC106" s="39"/>
    </row>
    <row r="107" spans="1:29" s="47" customFormat="1" ht="19.5" customHeight="1">
      <c r="A107" s="22"/>
      <c r="B107" s="518" t="s">
        <v>1094</v>
      </c>
      <c r="C107" s="519"/>
      <c r="D107" s="520"/>
      <c r="E107" s="518" t="s">
        <v>1094</v>
      </c>
      <c r="F107" s="521"/>
      <c r="G107" s="28"/>
      <c r="H107" s="33"/>
      <c r="I107" s="332"/>
      <c r="J107" s="33"/>
      <c r="K107" s="360" t="s">
        <v>246</v>
      </c>
      <c r="L107" s="319" t="str">
        <f>+INGRESOS!J110</f>
        <v>Asistente de Presidencia para Presupuesto</v>
      </c>
      <c r="M107" s="348"/>
      <c r="N107" s="340"/>
      <c r="O107" s="34"/>
      <c r="P107" s="34"/>
      <c r="Q107" s="31"/>
      <c r="R107" s="31"/>
      <c r="S107" s="31"/>
      <c r="T107" s="31"/>
      <c r="U107" s="31"/>
      <c r="V107" s="31"/>
      <c r="W107" s="31"/>
      <c r="X107" s="31"/>
      <c r="Y107" s="31"/>
      <c r="Z107" s="32"/>
      <c r="AA107" s="40"/>
      <c r="AB107" s="39"/>
      <c r="AC107" s="39"/>
    </row>
    <row r="108" spans="1:29" ht="19.5" customHeight="1">
      <c r="A108" s="6"/>
      <c r="B108" s="518" t="s">
        <v>235</v>
      </c>
      <c r="C108" s="522">
        <v>43683</v>
      </c>
      <c r="D108" s="520"/>
      <c r="E108" s="518" t="s">
        <v>235</v>
      </c>
      <c r="F108" s="522">
        <v>43683</v>
      </c>
      <c r="G108" s="28"/>
      <c r="H108" s="33"/>
      <c r="I108" s="332"/>
      <c r="J108" s="33"/>
      <c r="K108" s="361" t="s">
        <v>236</v>
      </c>
      <c r="L108" s="523">
        <f>+F108</f>
        <v>43683</v>
      </c>
      <c r="M108" s="348"/>
      <c r="N108" s="340"/>
      <c r="O108" s="34"/>
      <c r="P108" s="34"/>
      <c r="Q108" s="31"/>
      <c r="R108" s="31"/>
      <c r="S108" s="31"/>
      <c r="T108" s="31"/>
      <c r="U108" s="31"/>
      <c r="V108" s="31"/>
      <c r="W108" s="31"/>
      <c r="X108" s="31"/>
      <c r="Y108" s="31"/>
      <c r="Z108" s="32"/>
    </row>
    <row r="109" spans="1:29" ht="15.75" thickBot="1">
      <c r="A109" s="6"/>
      <c r="B109" s="35"/>
      <c r="C109" s="333"/>
      <c r="D109" s="36"/>
      <c r="E109" s="35"/>
      <c r="F109" s="36"/>
      <c r="G109" s="36"/>
      <c r="H109" s="36"/>
      <c r="I109" s="333"/>
      <c r="J109" s="36"/>
      <c r="K109" s="362"/>
      <c r="L109" s="320"/>
      <c r="M109" s="349"/>
      <c r="N109" s="341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7"/>
    </row>
  </sheetData>
  <mergeCells count="39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102:M102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101" xr:uid="{150EE5DE-0A67-4B35-83D6-D538D1046485}">
      <formula1>IF(I14="Gastos Pregrado",GtosPre,IF(I14="Inversión",Inversiones,InverPre))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5082B65-F735-4B80-8660-C5A075B0548B}">
          <x14:formula1>
            <xm:f>Listas!$I$8:$I$10</xm:f>
          </x14:formula1>
          <xm:sqref>I14:I101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M14:M101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I21" sqref="I21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7" t="s">
        <v>287</v>
      </c>
      <c r="B7" s="308" t="s">
        <v>430</v>
      </c>
      <c r="C7" s="308" t="s">
        <v>431</v>
      </c>
      <c r="D7" s="307" t="s">
        <v>287</v>
      </c>
      <c r="F7" s="314" t="s">
        <v>444</v>
      </c>
      <c r="G7" s="314" t="s">
        <v>7</v>
      </c>
      <c r="I7" s="314" t="s">
        <v>7</v>
      </c>
      <c r="J7" s="314" t="s">
        <v>465</v>
      </c>
      <c r="L7" s="314" t="s">
        <v>622</v>
      </c>
      <c r="M7" s="314" t="s">
        <v>623</v>
      </c>
    </row>
    <row r="8" spans="1:13">
      <c r="A8" s="309" t="s">
        <v>288</v>
      </c>
      <c r="B8" s="309" t="s">
        <v>289</v>
      </c>
      <c r="C8" s="309" t="s">
        <v>145</v>
      </c>
      <c r="D8" s="309" t="s">
        <v>288</v>
      </c>
      <c r="F8" s="310" t="s">
        <v>445</v>
      </c>
      <c r="G8" s="311" t="s">
        <v>446</v>
      </c>
      <c r="I8" s="325" t="s">
        <v>467</v>
      </c>
      <c r="J8" s="326" t="s">
        <v>448</v>
      </c>
      <c r="L8" s="327" t="s">
        <v>474</v>
      </c>
      <c r="M8" s="328" t="s">
        <v>167</v>
      </c>
    </row>
    <row r="9" spans="1:13">
      <c r="A9" s="309" t="s">
        <v>288</v>
      </c>
      <c r="B9" s="309" t="s">
        <v>290</v>
      </c>
      <c r="C9" s="309" t="s">
        <v>146</v>
      </c>
      <c r="D9" s="309" t="s">
        <v>288</v>
      </c>
      <c r="F9" s="310" t="s">
        <v>447</v>
      </c>
      <c r="G9" s="311" t="s">
        <v>448</v>
      </c>
      <c r="I9" s="325" t="s">
        <v>468</v>
      </c>
      <c r="J9" s="326" t="s">
        <v>450</v>
      </c>
      <c r="L9" s="327" t="s">
        <v>475</v>
      </c>
      <c r="M9" s="328" t="s">
        <v>168</v>
      </c>
    </row>
    <row r="10" spans="1:13">
      <c r="A10" s="309" t="s">
        <v>288</v>
      </c>
      <c r="B10" s="309" t="s">
        <v>292</v>
      </c>
      <c r="C10" s="309" t="s">
        <v>291</v>
      </c>
      <c r="D10" s="309" t="s">
        <v>288</v>
      </c>
      <c r="F10" s="310" t="s">
        <v>449</v>
      </c>
      <c r="G10" s="311" t="s">
        <v>450</v>
      </c>
      <c r="I10" s="325" t="s">
        <v>469</v>
      </c>
      <c r="J10" s="326" t="s">
        <v>452</v>
      </c>
      <c r="L10" s="327" t="s">
        <v>476</v>
      </c>
      <c r="M10" s="328" t="s">
        <v>207</v>
      </c>
    </row>
    <row r="11" spans="1:13">
      <c r="A11" s="309" t="s">
        <v>288</v>
      </c>
      <c r="B11" s="309" t="s">
        <v>294</v>
      </c>
      <c r="C11" s="309" t="s">
        <v>293</v>
      </c>
      <c r="D11" s="309" t="s">
        <v>288</v>
      </c>
      <c r="F11" s="310" t="s">
        <v>451</v>
      </c>
      <c r="G11" s="311" t="s">
        <v>452</v>
      </c>
      <c r="I11" s="322" t="s">
        <v>466</v>
      </c>
      <c r="J11" s="323"/>
      <c r="L11" s="327" t="s">
        <v>477</v>
      </c>
      <c r="M11" s="328" t="s">
        <v>208</v>
      </c>
    </row>
    <row r="12" spans="1:13">
      <c r="A12" s="309" t="s">
        <v>288</v>
      </c>
      <c r="B12" s="309" t="s">
        <v>296</v>
      </c>
      <c r="C12" s="309" t="s">
        <v>295</v>
      </c>
      <c r="D12" s="309" t="s">
        <v>288</v>
      </c>
      <c r="F12" s="310" t="s">
        <v>453</v>
      </c>
      <c r="G12" s="311" t="s">
        <v>454</v>
      </c>
      <c r="I12" s="325" t="s">
        <v>470</v>
      </c>
      <c r="J12" s="326" t="s">
        <v>454</v>
      </c>
      <c r="L12" s="327" t="s">
        <v>478</v>
      </c>
      <c r="M12" s="328" t="s">
        <v>209</v>
      </c>
    </row>
    <row r="13" spans="1:13">
      <c r="A13" s="309" t="s">
        <v>288</v>
      </c>
      <c r="B13" s="309" t="s">
        <v>298</v>
      </c>
      <c r="C13" s="309" t="s">
        <v>297</v>
      </c>
      <c r="D13" s="309" t="s">
        <v>288</v>
      </c>
      <c r="F13" s="310" t="s">
        <v>455</v>
      </c>
      <c r="G13" s="311" t="s">
        <v>456</v>
      </c>
      <c r="I13" s="325" t="s">
        <v>471</v>
      </c>
      <c r="J13" s="326" t="s">
        <v>456</v>
      </c>
      <c r="L13" s="327" t="s">
        <v>479</v>
      </c>
      <c r="M13" s="328" t="s">
        <v>210</v>
      </c>
    </row>
    <row r="14" spans="1:13">
      <c r="A14" s="309" t="s">
        <v>288</v>
      </c>
      <c r="B14" s="309" t="s">
        <v>300</v>
      </c>
      <c r="C14" s="309" t="s">
        <v>299</v>
      </c>
      <c r="D14" s="309" t="s">
        <v>288</v>
      </c>
      <c r="F14" s="310" t="s">
        <v>457</v>
      </c>
      <c r="G14" s="311" t="s">
        <v>458</v>
      </c>
      <c r="I14" s="325" t="s">
        <v>468</v>
      </c>
      <c r="J14" s="326" t="s">
        <v>450</v>
      </c>
      <c r="L14" s="327" t="s">
        <v>480</v>
      </c>
      <c r="M14" s="328" t="s">
        <v>223</v>
      </c>
    </row>
    <row r="15" spans="1:13">
      <c r="A15" s="309" t="s">
        <v>301</v>
      </c>
      <c r="B15" s="309" t="s">
        <v>302</v>
      </c>
      <c r="C15" s="309" t="s">
        <v>147</v>
      </c>
      <c r="D15" s="309" t="s">
        <v>301</v>
      </c>
      <c r="F15" s="310" t="s">
        <v>459</v>
      </c>
      <c r="G15" s="311" t="s">
        <v>460</v>
      </c>
      <c r="L15" s="327" t="s">
        <v>481</v>
      </c>
      <c r="M15" s="328" t="s">
        <v>211</v>
      </c>
    </row>
    <row r="16" spans="1:13">
      <c r="A16" s="309" t="s">
        <v>301</v>
      </c>
      <c r="B16" s="309" t="s">
        <v>303</v>
      </c>
      <c r="C16" s="309" t="s">
        <v>148</v>
      </c>
      <c r="D16" s="309" t="s">
        <v>301</v>
      </c>
      <c r="F16" s="310" t="s">
        <v>461</v>
      </c>
      <c r="G16" s="311" t="s">
        <v>462</v>
      </c>
      <c r="I16" s="325" t="s">
        <v>472</v>
      </c>
      <c r="J16" s="326" t="s">
        <v>458</v>
      </c>
      <c r="L16" s="327" t="s">
        <v>483</v>
      </c>
      <c r="M16" s="328" t="s">
        <v>482</v>
      </c>
    </row>
    <row r="17" spans="1:13" ht="15.75" thickBot="1">
      <c r="A17" s="309" t="s">
        <v>301</v>
      </c>
      <c r="B17" s="309" t="s">
        <v>304</v>
      </c>
      <c r="C17" s="309" t="s">
        <v>149</v>
      </c>
      <c r="D17" s="309" t="s">
        <v>301</v>
      </c>
      <c r="F17" s="312" t="s">
        <v>463</v>
      </c>
      <c r="G17" s="313" t="s">
        <v>464</v>
      </c>
      <c r="I17" s="325" t="s">
        <v>468</v>
      </c>
      <c r="J17" s="326" t="s">
        <v>450</v>
      </c>
      <c r="L17" s="327" t="s">
        <v>484</v>
      </c>
      <c r="M17" s="328" t="s">
        <v>212</v>
      </c>
    </row>
    <row r="18" spans="1:13">
      <c r="A18" s="309" t="s">
        <v>301</v>
      </c>
      <c r="B18" s="309" t="s">
        <v>305</v>
      </c>
      <c r="C18" s="309" t="s">
        <v>150</v>
      </c>
      <c r="D18" s="309" t="s">
        <v>301</v>
      </c>
      <c r="L18" s="327" t="s">
        <v>485</v>
      </c>
      <c r="M18" s="328" t="s">
        <v>213</v>
      </c>
    </row>
    <row r="19" spans="1:13">
      <c r="A19" s="309" t="s">
        <v>301</v>
      </c>
      <c r="B19" s="309" t="s">
        <v>306</v>
      </c>
      <c r="C19" s="309" t="s">
        <v>206</v>
      </c>
      <c r="D19" s="309" t="s">
        <v>301</v>
      </c>
      <c r="I19" s="325" t="s">
        <v>473</v>
      </c>
      <c r="J19" s="326" t="s">
        <v>454</v>
      </c>
      <c r="L19" s="327" t="s">
        <v>486</v>
      </c>
      <c r="M19" s="328" t="s">
        <v>214</v>
      </c>
    </row>
    <row r="20" spans="1:13">
      <c r="A20" s="309" t="s">
        <v>301</v>
      </c>
      <c r="B20" s="309" t="s">
        <v>307</v>
      </c>
      <c r="C20" s="309" t="s">
        <v>151</v>
      </c>
      <c r="D20" s="309" t="s">
        <v>301</v>
      </c>
      <c r="I20" s="322" t="s">
        <v>466</v>
      </c>
      <c r="J20" s="323"/>
      <c r="L20" s="327" t="s">
        <v>488</v>
      </c>
      <c r="M20" s="328" t="s">
        <v>487</v>
      </c>
    </row>
    <row r="21" spans="1:13">
      <c r="A21" s="309" t="s">
        <v>301</v>
      </c>
      <c r="B21" s="309" t="s">
        <v>308</v>
      </c>
      <c r="C21" s="309" t="s">
        <v>152</v>
      </c>
      <c r="D21" s="309" t="s">
        <v>301</v>
      </c>
      <c r="I21" s="324" t="s">
        <v>466</v>
      </c>
      <c r="J21" s="324"/>
      <c r="L21" s="327" t="s">
        <v>490</v>
      </c>
      <c r="M21" s="328" t="s">
        <v>489</v>
      </c>
    </row>
    <row r="22" spans="1:13">
      <c r="A22" s="309" t="s">
        <v>301</v>
      </c>
      <c r="B22" s="309" t="s">
        <v>310</v>
      </c>
      <c r="C22" s="309" t="s">
        <v>309</v>
      </c>
      <c r="D22" s="309" t="s">
        <v>301</v>
      </c>
      <c r="I22" s="322" t="s">
        <v>466</v>
      </c>
      <c r="J22" s="323"/>
      <c r="L22" s="327" t="s">
        <v>491</v>
      </c>
      <c r="M22" s="328" t="s">
        <v>215</v>
      </c>
    </row>
    <row r="23" spans="1:13">
      <c r="A23" s="309" t="s">
        <v>301</v>
      </c>
      <c r="B23" s="309" t="s">
        <v>312</v>
      </c>
      <c r="C23" s="309" t="s">
        <v>311</v>
      </c>
      <c r="D23" s="309" t="s">
        <v>301</v>
      </c>
      <c r="I23" s="322" t="s">
        <v>466</v>
      </c>
      <c r="J23" s="323"/>
      <c r="L23" s="327" t="s">
        <v>493</v>
      </c>
      <c r="M23" s="328" t="s">
        <v>492</v>
      </c>
    </row>
    <row r="24" spans="1:13">
      <c r="A24" s="309" t="s">
        <v>301</v>
      </c>
      <c r="B24" s="309" t="s">
        <v>314</v>
      </c>
      <c r="C24" s="309" t="s">
        <v>313</v>
      </c>
      <c r="D24" s="309" t="s">
        <v>301</v>
      </c>
      <c r="I24" s="324" t="s">
        <v>466</v>
      </c>
      <c r="J24" s="324"/>
      <c r="L24" s="327" t="s">
        <v>494</v>
      </c>
      <c r="M24" s="328" t="s">
        <v>216</v>
      </c>
    </row>
    <row r="25" spans="1:13">
      <c r="A25" s="309" t="s">
        <v>301</v>
      </c>
      <c r="B25" s="309" t="s">
        <v>316</v>
      </c>
      <c r="C25" s="309" t="s">
        <v>315</v>
      </c>
      <c r="D25" s="309" t="s">
        <v>301</v>
      </c>
      <c r="L25" s="327" t="s">
        <v>495</v>
      </c>
      <c r="M25" s="328" t="s">
        <v>217</v>
      </c>
    </row>
    <row r="26" spans="1:13">
      <c r="A26" s="309" t="s">
        <v>301</v>
      </c>
      <c r="B26" s="309" t="s">
        <v>318</v>
      </c>
      <c r="C26" s="309" t="s">
        <v>317</v>
      </c>
      <c r="D26" s="309" t="s">
        <v>301</v>
      </c>
      <c r="L26" s="327" t="s">
        <v>496</v>
      </c>
      <c r="M26" s="328" t="s">
        <v>218</v>
      </c>
    </row>
    <row r="27" spans="1:13">
      <c r="A27" s="309" t="s">
        <v>301</v>
      </c>
      <c r="B27" s="309" t="s">
        <v>320</v>
      </c>
      <c r="C27" s="309" t="s">
        <v>319</v>
      </c>
      <c r="D27" s="309" t="s">
        <v>301</v>
      </c>
      <c r="L27" s="327" t="s">
        <v>498</v>
      </c>
      <c r="M27" s="328" t="s">
        <v>497</v>
      </c>
    </row>
    <row r="28" spans="1:13">
      <c r="A28" s="309" t="s">
        <v>301</v>
      </c>
      <c r="B28" s="309" t="s">
        <v>322</v>
      </c>
      <c r="C28" s="309" t="s">
        <v>321</v>
      </c>
      <c r="D28" s="309" t="s">
        <v>301</v>
      </c>
      <c r="L28" s="327" t="s">
        <v>500</v>
      </c>
      <c r="M28" s="328" t="s">
        <v>499</v>
      </c>
    </row>
    <row r="29" spans="1:13">
      <c r="A29" s="309" t="s">
        <v>301</v>
      </c>
      <c r="B29" s="309" t="s">
        <v>324</v>
      </c>
      <c r="C29" s="309" t="s">
        <v>323</v>
      </c>
      <c r="D29" s="309" t="s">
        <v>301</v>
      </c>
      <c r="L29" s="327" t="s">
        <v>502</v>
      </c>
      <c r="M29" s="328" t="s">
        <v>501</v>
      </c>
    </row>
    <row r="30" spans="1:13">
      <c r="A30" s="309" t="s">
        <v>301</v>
      </c>
      <c r="B30" s="309" t="s">
        <v>326</v>
      </c>
      <c r="C30" s="309" t="s">
        <v>325</v>
      </c>
      <c r="D30" s="309" t="s">
        <v>301</v>
      </c>
      <c r="L30" s="327" t="s">
        <v>504</v>
      </c>
      <c r="M30" s="328" t="s">
        <v>503</v>
      </c>
    </row>
    <row r="31" spans="1:13">
      <c r="A31" s="309" t="s">
        <v>301</v>
      </c>
      <c r="B31" s="309" t="s">
        <v>328</v>
      </c>
      <c r="C31" s="309" t="s">
        <v>327</v>
      </c>
      <c r="D31" s="309" t="s">
        <v>301</v>
      </c>
      <c r="L31" s="327" t="s">
        <v>506</v>
      </c>
      <c r="M31" s="328" t="s">
        <v>505</v>
      </c>
    </row>
    <row r="32" spans="1:13">
      <c r="A32" s="309" t="s">
        <v>301</v>
      </c>
      <c r="B32" s="309" t="s">
        <v>330</v>
      </c>
      <c r="C32" s="309" t="s">
        <v>329</v>
      </c>
      <c r="D32" s="309" t="s">
        <v>301</v>
      </c>
      <c r="L32" s="327" t="s">
        <v>508</v>
      </c>
      <c r="M32" s="328" t="s">
        <v>507</v>
      </c>
    </row>
    <row r="33" spans="1:13">
      <c r="A33" s="309" t="s">
        <v>301</v>
      </c>
      <c r="B33" s="309" t="s">
        <v>332</v>
      </c>
      <c r="C33" s="309" t="s">
        <v>331</v>
      </c>
      <c r="D33" s="309" t="s">
        <v>301</v>
      </c>
      <c r="L33" s="327" t="s">
        <v>510</v>
      </c>
      <c r="M33" s="328" t="s">
        <v>509</v>
      </c>
    </row>
    <row r="34" spans="1:13">
      <c r="A34" s="309" t="s">
        <v>333</v>
      </c>
      <c r="B34" s="309" t="s">
        <v>334</v>
      </c>
      <c r="C34" s="309" t="s">
        <v>153</v>
      </c>
      <c r="D34" s="309" t="s">
        <v>333</v>
      </c>
      <c r="L34" s="327" t="s">
        <v>511</v>
      </c>
      <c r="M34" s="328" t="s">
        <v>219</v>
      </c>
    </row>
    <row r="35" spans="1:13">
      <c r="A35" s="309" t="s">
        <v>333</v>
      </c>
      <c r="B35" s="309" t="s">
        <v>335</v>
      </c>
      <c r="C35" s="309" t="s">
        <v>154</v>
      </c>
      <c r="D35" s="309" t="s">
        <v>333</v>
      </c>
      <c r="L35" s="327" t="s">
        <v>512</v>
      </c>
      <c r="M35" s="328" t="s">
        <v>220</v>
      </c>
    </row>
    <row r="36" spans="1:13">
      <c r="A36" s="309" t="s">
        <v>333</v>
      </c>
      <c r="B36" s="309" t="s">
        <v>336</v>
      </c>
      <c r="C36" s="309" t="s">
        <v>155</v>
      </c>
      <c r="D36" s="309" t="s">
        <v>333</v>
      </c>
      <c r="L36" s="327" t="s">
        <v>513</v>
      </c>
      <c r="M36" s="328" t="s">
        <v>239</v>
      </c>
    </row>
    <row r="37" spans="1:13">
      <c r="A37" s="309" t="s">
        <v>333</v>
      </c>
      <c r="B37" s="309" t="s">
        <v>337</v>
      </c>
      <c r="C37" s="309" t="s">
        <v>156</v>
      </c>
      <c r="D37" s="309" t="s">
        <v>333</v>
      </c>
      <c r="L37" s="327" t="s">
        <v>514</v>
      </c>
      <c r="M37" s="328" t="s">
        <v>238</v>
      </c>
    </row>
    <row r="38" spans="1:13">
      <c r="A38" s="309" t="s">
        <v>333</v>
      </c>
      <c r="B38" s="309" t="s">
        <v>339</v>
      </c>
      <c r="C38" s="309" t="s">
        <v>338</v>
      </c>
      <c r="D38" s="309" t="s">
        <v>333</v>
      </c>
      <c r="L38" s="327" t="s">
        <v>515</v>
      </c>
      <c r="M38" s="328" t="s">
        <v>240</v>
      </c>
    </row>
    <row r="39" spans="1:13">
      <c r="A39" s="309" t="s">
        <v>333</v>
      </c>
      <c r="B39" s="309" t="s">
        <v>341</v>
      </c>
      <c r="C39" s="309" t="s">
        <v>340</v>
      </c>
      <c r="D39" s="309" t="s">
        <v>333</v>
      </c>
      <c r="L39" s="327" t="s">
        <v>516</v>
      </c>
      <c r="M39" s="328" t="s">
        <v>241</v>
      </c>
    </row>
    <row r="40" spans="1:13">
      <c r="A40" s="309" t="s">
        <v>333</v>
      </c>
      <c r="B40" s="309" t="s">
        <v>343</v>
      </c>
      <c r="C40" s="309" t="s">
        <v>342</v>
      </c>
      <c r="D40" s="309" t="s">
        <v>333</v>
      </c>
      <c r="L40" s="327" t="s">
        <v>517</v>
      </c>
      <c r="M40" s="328" t="s">
        <v>242</v>
      </c>
    </row>
    <row r="41" spans="1:13">
      <c r="A41" s="309" t="s">
        <v>333</v>
      </c>
      <c r="B41" s="309" t="s">
        <v>345</v>
      </c>
      <c r="C41" s="309" t="s">
        <v>344</v>
      </c>
      <c r="D41" s="309" t="s">
        <v>333</v>
      </c>
      <c r="L41" s="327" t="s">
        <v>262</v>
      </c>
      <c r="M41" s="328" t="s">
        <v>261</v>
      </c>
    </row>
    <row r="42" spans="1:13">
      <c r="A42" s="309" t="s">
        <v>333</v>
      </c>
      <c r="B42" s="309" t="s">
        <v>347</v>
      </c>
      <c r="C42" s="309" t="s">
        <v>346</v>
      </c>
      <c r="D42" s="309" t="s">
        <v>333</v>
      </c>
      <c r="L42" s="327" t="s">
        <v>264</v>
      </c>
      <c r="M42" s="328" t="s">
        <v>263</v>
      </c>
    </row>
    <row r="43" spans="1:13">
      <c r="A43" s="309" t="s">
        <v>333</v>
      </c>
      <c r="B43" s="309" t="s">
        <v>349</v>
      </c>
      <c r="C43" s="309" t="s">
        <v>348</v>
      </c>
      <c r="D43" s="309" t="s">
        <v>333</v>
      </c>
      <c r="L43" s="327" t="s">
        <v>266</v>
      </c>
      <c r="M43" s="328" t="s">
        <v>265</v>
      </c>
    </row>
    <row r="44" spans="1:13">
      <c r="A44" s="309" t="s">
        <v>333</v>
      </c>
      <c r="B44" s="309" t="s">
        <v>353</v>
      </c>
      <c r="C44" s="309" t="s">
        <v>352</v>
      </c>
      <c r="D44" s="309" t="s">
        <v>333</v>
      </c>
      <c r="L44" s="327" t="s">
        <v>267</v>
      </c>
      <c r="M44" s="328" t="s">
        <v>518</v>
      </c>
    </row>
    <row r="45" spans="1:13">
      <c r="A45" s="309" t="s">
        <v>354</v>
      </c>
      <c r="B45" s="309" t="s">
        <v>355</v>
      </c>
      <c r="C45" s="309" t="s">
        <v>157</v>
      </c>
      <c r="D45" s="309" t="s">
        <v>354</v>
      </c>
      <c r="L45" s="327" t="s">
        <v>519</v>
      </c>
      <c r="M45" s="328" t="s">
        <v>243</v>
      </c>
    </row>
    <row r="46" spans="1:13">
      <c r="A46" s="309" t="s">
        <v>354</v>
      </c>
      <c r="B46" s="309" t="s">
        <v>356</v>
      </c>
      <c r="C46" s="309" t="s">
        <v>158</v>
      </c>
      <c r="D46" s="309" t="s">
        <v>354</v>
      </c>
      <c r="L46" s="327" t="s">
        <v>520</v>
      </c>
      <c r="M46" s="328" t="s">
        <v>244</v>
      </c>
    </row>
    <row r="47" spans="1:13">
      <c r="A47" s="309" t="s">
        <v>354</v>
      </c>
      <c r="B47" s="309" t="s">
        <v>357</v>
      </c>
      <c r="C47" s="309" t="s">
        <v>159</v>
      </c>
      <c r="D47" s="309" t="s">
        <v>354</v>
      </c>
      <c r="L47" s="327" t="s">
        <v>521</v>
      </c>
      <c r="M47" s="328" t="s">
        <v>221</v>
      </c>
    </row>
    <row r="48" spans="1:13">
      <c r="A48" s="309" t="s">
        <v>354</v>
      </c>
      <c r="B48" s="309" t="s">
        <v>358</v>
      </c>
      <c r="C48" s="309" t="s">
        <v>160</v>
      </c>
      <c r="D48" s="309" t="s">
        <v>354</v>
      </c>
      <c r="L48" s="327" t="s">
        <v>522</v>
      </c>
      <c r="M48" s="328" t="s">
        <v>245</v>
      </c>
    </row>
    <row r="49" spans="1:13">
      <c r="A49" s="309" t="s">
        <v>354</v>
      </c>
      <c r="B49" s="309" t="s">
        <v>359</v>
      </c>
      <c r="C49" s="309" t="s">
        <v>161</v>
      </c>
      <c r="D49" s="309" t="s">
        <v>354</v>
      </c>
      <c r="L49" s="327" t="s">
        <v>523</v>
      </c>
      <c r="M49" s="328" t="s">
        <v>222</v>
      </c>
    </row>
    <row r="50" spans="1:13">
      <c r="A50" s="309" t="s">
        <v>354</v>
      </c>
      <c r="B50" s="309" t="s">
        <v>350</v>
      </c>
      <c r="C50" s="309" t="s">
        <v>162</v>
      </c>
      <c r="D50" s="309" t="s">
        <v>354</v>
      </c>
      <c r="L50" s="327" t="s">
        <v>525</v>
      </c>
      <c r="M50" s="328" t="s">
        <v>524</v>
      </c>
    </row>
    <row r="51" spans="1:13">
      <c r="A51" s="309" t="s">
        <v>354</v>
      </c>
      <c r="B51" s="309" t="s">
        <v>361</v>
      </c>
      <c r="C51" s="309" t="s">
        <v>360</v>
      </c>
      <c r="D51" s="309" t="s">
        <v>354</v>
      </c>
      <c r="L51" s="327" t="s">
        <v>527</v>
      </c>
      <c r="M51" s="328" t="s">
        <v>526</v>
      </c>
    </row>
    <row r="52" spans="1:13">
      <c r="A52" s="309" t="s">
        <v>354</v>
      </c>
      <c r="B52" s="309" t="s">
        <v>363</v>
      </c>
      <c r="C52" s="309" t="s">
        <v>362</v>
      </c>
      <c r="D52" s="309" t="s">
        <v>354</v>
      </c>
      <c r="L52" s="327" t="s">
        <v>529</v>
      </c>
      <c r="M52" s="328" t="s">
        <v>528</v>
      </c>
    </row>
    <row r="53" spans="1:13">
      <c r="A53" s="309" t="s">
        <v>354</v>
      </c>
      <c r="B53" s="309" t="s">
        <v>351</v>
      </c>
      <c r="C53" s="309" t="s">
        <v>364</v>
      </c>
      <c r="D53" s="309" t="s">
        <v>354</v>
      </c>
      <c r="L53" s="327" t="s">
        <v>531</v>
      </c>
      <c r="M53" s="328" t="s">
        <v>530</v>
      </c>
    </row>
    <row r="54" spans="1:13">
      <c r="A54" s="309" t="s">
        <v>365</v>
      </c>
      <c r="B54" s="309" t="s">
        <v>366</v>
      </c>
      <c r="C54" s="309" t="s">
        <v>165</v>
      </c>
      <c r="D54" s="309" t="s">
        <v>365</v>
      </c>
      <c r="L54" s="327" t="s">
        <v>533</v>
      </c>
      <c r="M54" s="328" t="s">
        <v>532</v>
      </c>
    </row>
    <row r="55" spans="1:13">
      <c r="A55" s="309" t="s">
        <v>367</v>
      </c>
      <c r="B55" s="309" t="s">
        <v>368</v>
      </c>
      <c r="C55" s="309" t="s">
        <v>166</v>
      </c>
      <c r="D55" s="309" t="s">
        <v>367</v>
      </c>
      <c r="L55" s="327" t="s">
        <v>535</v>
      </c>
      <c r="M55" s="328" t="s">
        <v>534</v>
      </c>
    </row>
    <row r="56" spans="1:13">
      <c r="A56" s="309" t="s">
        <v>369</v>
      </c>
      <c r="B56" s="309" t="s">
        <v>370</v>
      </c>
      <c r="C56" s="309" t="s">
        <v>169</v>
      </c>
      <c r="D56" s="309" t="s">
        <v>369</v>
      </c>
      <c r="L56" s="327" t="s">
        <v>537</v>
      </c>
      <c r="M56" s="328" t="s">
        <v>536</v>
      </c>
    </row>
    <row r="57" spans="1:13">
      <c r="A57" s="309" t="s">
        <v>371</v>
      </c>
      <c r="B57" s="309" t="s">
        <v>373</v>
      </c>
      <c r="C57" s="309" t="s">
        <v>372</v>
      </c>
      <c r="D57" s="309" t="s">
        <v>371</v>
      </c>
      <c r="L57" s="327" t="s">
        <v>539</v>
      </c>
      <c r="M57" s="328" t="s">
        <v>538</v>
      </c>
    </row>
    <row r="58" spans="1:13">
      <c r="A58" s="309" t="s">
        <v>371</v>
      </c>
      <c r="B58" s="309" t="s">
        <v>375</v>
      </c>
      <c r="C58" s="309" t="s">
        <v>374</v>
      </c>
      <c r="D58" s="309" t="s">
        <v>371</v>
      </c>
      <c r="L58" s="327" t="s">
        <v>541</v>
      </c>
      <c r="M58" s="328" t="s">
        <v>540</v>
      </c>
    </row>
    <row r="59" spans="1:13">
      <c r="A59" s="309" t="s">
        <v>371</v>
      </c>
      <c r="B59" s="309" t="s">
        <v>377</v>
      </c>
      <c r="C59" s="309" t="s">
        <v>376</v>
      </c>
      <c r="D59" s="309" t="s">
        <v>371</v>
      </c>
      <c r="L59" s="327" t="s">
        <v>543</v>
      </c>
      <c r="M59" s="328" t="s">
        <v>542</v>
      </c>
    </row>
    <row r="60" spans="1:13">
      <c r="A60" s="309" t="s">
        <v>371</v>
      </c>
      <c r="B60" s="309" t="s">
        <v>379</v>
      </c>
      <c r="C60" s="309" t="s">
        <v>378</v>
      </c>
      <c r="D60" s="309" t="s">
        <v>371</v>
      </c>
      <c r="L60" s="327" t="s">
        <v>545</v>
      </c>
      <c r="M60" s="328" t="s">
        <v>544</v>
      </c>
    </row>
    <row r="61" spans="1:13">
      <c r="A61" s="309" t="s">
        <v>371</v>
      </c>
      <c r="B61" s="309" t="s">
        <v>381</v>
      </c>
      <c r="C61" s="309" t="s">
        <v>380</v>
      </c>
      <c r="D61" s="309" t="s">
        <v>371</v>
      </c>
      <c r="L61" s="327" t="s">
        <v>547</v>
      </c>
      <c r="M61" s="328" t="s">
        <v>546</v>
      </c>
    </row>
    <row r="62" spans="1:13">
      <c r="A62" s="309" t="s">
        <v>371</v>
      </c>
      <c r="B62" s="309" t="s">
        <v>383</v>
      </c>
      <c r="C62" s="309" t="s">
        <v>382</v>
      </c>
      <c r="D62" s="309" t="s">
        <v>371</v>
      </c>
      <c r="L62" s="327" t="s">
        <v>549</v>
      </c>
      <c r="M62" s="328" t="s">
        <v>548</v>
      </c>
    </row>
    <row r="63" spans="1:13">
      <c r="A63" s="309" t="s">
        <v>384</v>
      </c>
      <c r="B63" s="309" t="s">
        <v>385</v>
      </c>
      <c r="C63" s="309" t="s">
        <v>170</v>
      </c>
      <c r="D63" s="309" t="s">
        <v>384</v>
      </c>
      <c r="L63" s="327" t="s">
        <v>551</v>
      </c>
      <c r="M63" s="328" t="s">
        <v>550</v>
      </c>
    </row>
    <row r="64" spans="1:13">
      <c r="A64" s="309" t="s">
        <v>384</v>
      </c>
      <c r="B64" s="309" t="s">
        <v>386</v>
      </c>
      <c r="C64" s="309" t="s">
        <v>171</v>
      </c>
      <c r="D64" s="309" t="s">
        <v>384</v>
      </c>
      <c r="L64" s="327" t="s">
        <v>553</v>
      </c>
      <c r="M64" s="328" t="s">
        <v>552</v>
      </c>
    </row>
    <row r="65" spans="1:13">
      <c r="A65" s="309" t="s">
        <v>384</v>
      </c>
      <c r="B65" s="309" t="s">
        <v>387</v>
      </c>
      <c r="C65" s="309" t="s">
        <v>172</v>
      </c>
      <c r="D65" s="309" t="s">
        <v>384</v>
      </c>
      <c r="L65" s="327" t="s">
        <v>555</v>
      </c>
      <c r="M65" s="328" t="s">
        <v>554</v>
      </c>
    </row>
    <row r="66" spans="1:13">
      <c r="A66" s="309" t="s">
        <v>384</v>
      </c>
      <c r="B66" s="309" t="s">
        <v>388</v>
      </c>
      <c r="C66" s="309" t="s">
        <v>173</v>
      </c>
      <c r="D66" s="309" t="s">
        <v>384</v>
      </c>
      <c r="L66" s="327" t="s">
        <v>557</v>
      </c>
      <c r="M66" s="328" t="s">
        <v>556</v>
      </c>
    </row>
    <row r="67" spans="1:13">
      <c r="A67" s="309" t="s">
        <v>384</v>
      </c>
      <c r="B67" s="309" t="s">
        <v>389</v>
      </c>
      <c r="C67" s="309" t="s">
        <v>174</v>
      </c>
      <c r="D67" s="309" t="s">
        <v>384</v>
      </c>
      <c r="L67" s="327" t="s">
        <v>559</v>
      </c>
      <c r="M67" s="328" t="s">
        <v>558</v>
      </c>
    </row>
    <row r="68" spans="1:13">
      <c r="A68" s="309" t="s">
        <v>384</v>
      </c>
      <c r="B68" s="309" t="s">
        <v>390</v>
      </c>
      <c r="C68" s="309" t="s">
        <v>175</v>
      </c>
      <c r="D68" s="309" t="s">
        <v>384</v>
      </c>
      <c r="L68" s="327" t="s">
        <v>561</v>
      </c>
      <c r="M68" s="328" t="s">
        <v>560</v>
      </c>
    </row>
    <row r="69" spans="1:13">
      <c r="A69" s="309" t="s">
        <v>391</v>
      </c>
      <c r="B69" s="309" t="s">
        <v>392</v>
      </c>
      <c r="C69" s="309" t="s">
        <v>176</v>
      </c>
      <c r="D69" s="309" t="s">
        <v>391</v>
      </c>
      <c r="L69" s="327" t="s">
        <v>563</v>
      </c>
      <c r="M69" s="328" t="s">
        <v>562</v>
      </c>
    </row>
    <row r="70" spans="1:13">
      <c r="A70" s="309" t="s">
        <v>391</v>
      </c>
      <c r="B70" s="309" t="s">
        <v>393</v>
      </c>
      <c r="C70" s="309" t="s">
        <v>177</v>
      </c>
      <c r="D70" s="309" t="s">
        <v>391</v>
      </c>
      <c r="L70" s="327" t="s">
        <v>565</v>
      </c>
      <c r="M70" s="328" t="s">
        <v>564</v>
      </c>
    </row>
    <row r="71" spans="1:13">
      <c r="A71" s="309" t="s">
        <v>391</v>
      </c>
      <c r="B71" s="309" t="s">
        <v>394</v>
      </c>
      <c r="C71" s="309" t="s">
        <v>178</v>
      </c>
      <c r="D71" s="309" t="s">
        <v>391</v>
      </c>
      <c r="L71" s="327" t="s">
        <v>567</v>
      </c>
      <c r="M71" s="328" t="s">
        <v>566</v>
      </c>
    </row>
    <row r="72" spans="1:13">
      <c r="A72" s="309" t="s">
        <v>391</v>
      </c>
      <c r="B72" s="309" t="s">
        <v>395</v>
      </c>
      <c r="C72" s="309" t="s">
        <v>179</v>
      </c>
      <c r="D72" s="309" t="s">
        <v>391</v>
      </c>
      <c r="L72" s="327" t="s">
        <v>569</v>
      </c>
      <c r="M72" s="328" t="s">
        <v>568</v>
      </c>
    </row>
    <row r="73" spans="1:13">
      <c r="A73" s="309" t="s">
        <v>391</v>
      </c>
      <c r="B73" s="309" t="s">
        <v>396</v>
      </c>
      <c r="C73" s="309" t="s">
        <v>180</v>
      </c>
      <c r="D73" s="309" t="s">
        <v>391</v>
      </c>
      <c r="L73" s="327" t="s">
        <v>571</v>
      </c>
      <c r="M73" s="328" t="s">
        <v>570</v>
      </c>
    </row>
    <row r="74" spans="1:13">
      <c r="A74" s="309" t="s">
        <v>397</v>
      </c>
      <c r="B74" s="309" t="s">
        <v>398</v>
      </c>
      <c r="C74" s="309" t="s">
        <v>181</v>
      </c>
      <c r="D74" s="309" t="s">
        <v>397</v>
      </c>
      <c r="L74" s="327" t="s">
        <v>573</v>
      </c>
      <c r="M74" s="328" t="s">
        <v>572</v>
      </c>
    </row>
    <row r="75" spans="1:13">
      <c r="A75" s="309" t="s">
        <v>397</v>
      </c>
      <c r="B75" s="309" t="s">
        <v>399</v>
      </c>
      <c r="C75" s="309" t="s">
        <v>182</v>
      </c>
      <c r="D75" s="309" t="s">
        <v>397</v>
      </c>
      <c r="L75" s="327" t="s">
        <v>575</v>
      </c>
      <c r="M75" s="328" t="s">
        <v>574</v>
      </c>
    </row>
    <row r="76" spans="1:13">
      <c r="A76" s="309" t="s">
        <v>397</v>
      </c>
      <c r="B76" s="309" t="s">
        <v>400</v>
      </c>
      <c r="C76" s="309" t="s">
        <v>183</v>
      </c>
      <c r="D76" s="309" t="s">
        <v>397</v>
      </c>
      <c r="L76" s="327" t="s">
        <v>577</v>
      </c>
      <c r="M76" s="328" t="s">
        <v>576</v>
      </c>
    </row>
    <row r="77" spans="1:13">
      <c r="A77" s="309" t="s">
        <v>397</v>
      </c>
      <c r="B77" s="309" t="s">
        <v>401</v>
      </c>
      <c r="C77" s="309" t="s">
        <v>184</v>
      </c>
      <c r="D77" s="309" t="s">
        <v>397</v>
      </c>
      <c r="L77" s="327" t="s">
        <v>579</v>
      </c>
      <c r="M77" s="328" t="s">
        <v>578</v>
      </c>
    </row>
    <row r="78" spans="1:13">
      <c r="A78" s="309" t="s">
        <v>397</v>
      </c>
      <c r="B78" s="309" t="s">
        <v>402</v>
      </c>
      <c r="C78" s="309" t="s">
        <v>185</v>
      </c>
      <c r="D78" s="309" t="s">
        <v>397</v>
      </c>
      <c r="L78" s="327" t="s">
        <v>581</v>
      </c>
      <c r="M78" s="328" t="s">
        <v>580</v>
      </c>
    </row>
    <row r="79" spans="1:13">
      <c r="A79" s="309" t="s">
        <v>397</v>
      </c>
      <c r="B79" s="309" t="s">
        <v>403</v>
      </c>
      <c r="C79" s="309" t="s">
        <v>186</v>
      </c>
      <c r="D79" s="309" t="s">
        <v>397</v>
      </c>
      <c r="L79" s="327" t="s">
        <v>583</v>
      </c>
      <c r="M79" s="328" t="s">
        <v>582</v>
      </c>
    </row>
    <row r="80" spans="1:13">
      <c r="A80" s="309" t="s">
        <v>397</v>
      </c>
      <c r="B80" s="309" t="s">
        <v>404</v>
      </c>
      <c r="C80" s="309" t="s">
        <v>187</v>
      </c>
      <c r="D80" s="309" t="s">
        <v>397</v>
      </c>
      <c r="L80" s="327" t="s">
        <v>585</v>
      </c>
      <c r="M80" s="328" t="s">
        <v>584</v>
      </c>
    </row>
    <row r="81" spans="1:13">
      <c r="A81" s="309" t="s">
        <v>397</v>
      </c>
      <c r="B81" s="309" t="s">
        <v>405</v>
      </c>
      <c r="C81" s="309" t="s">
        <v>188</v>
      </c>
      <c r="D81" s="309" t="s">
        <v>397</v>
      </c>
      <c r="L81" s="327" t="s">
        <v>587</v>
      </c>
      <c r="M81" s="328" t="s">
        <v>586</v>
      </c>
    </row>
    <row r="82" spans="1:13">
      <c r="A82" s="309" t="s">
        <v>397</v>
      </c>
      <c r="B82" s="309" t="s">
        <v>406</v>
      </c>
      <c r="C82" s="309" t="s">
        <v>189</v>
      </c>
      <c r="D82" s="309" t="s">
        <v>397</v>
      </c>
      <c r="L82" s="327" t="s">
        <v>589</v>
      </c>
      <c r="M82" s="328" t="s">
        <v>588</v>
      </c>
    </row>
    <row r="83" spans="1:13">
      <c r="A83" s="309" t="s">
        <v>397</v>
      </c>
      <c r="B83" s="309" t="s">
        <v>407</v>
      </c>
      <c r="C83" s="309" t="s">
        <v>190</v>
      </c>
      <c r="D83" s="309" t="s">
        <v>397</v>
      </c>
      <c r="L83" s="327" t="s">
        <v>591</v>
      </c>
      <c r="M83" s="328" t="s">
        <v>590</v>
      </c>
    </row>
    <row r="84" spans="1:13">
      <c r="A84" s="309" t="s">
        <v>397</v>
      </c>
      <c r="B84" s="309" t="s">
        <v>408</v>
      </c>
      <c r="C84" s="309" t="s">
        <v>191</v>
      </c>
      <c r="D84" s="309" t="s">
        <v>397</v>
      </c>
      <c r="L84" s="327" t="s">
        <v>593</v>
      </c>
      <c r="M84" s="328" t="s">
        <v>592</v>
      </c>
    </row>
    <row r="85" spans="1:13">
      <c r="A85" s="309" t="s">
        <v>397</v>
      </c>
      <c r="B85" s="309" t="s">
        <v>409</v>
      </c>
      <c r="C85" s="309" t="s">
        <v>192</v>
      </c>
      <c r="D85" s="309" t="s">
        <v>397</v>
      </c>
      <c r="L85" s="327" t="s">
        <v>595</v>
      </c>
      <c r="M85" s="328" t="s">
        <v>594</v>
      </c>
    </row>
    <row r="86" spans="1:13">
      <c r="A86" s="309" t="s">
        <v>410</v>
      </c>
      <c r="B86" s="309" t="s">
        <v>411</v>
      </c>
      <c r="C86" s="309" t="s">
        <v>193</v>
      </c>
      <c r="D86" s="309" t="s">
        <v>410</v>
      </c>
      <c r="L86" s="327" t="s">
        <v>597</v>
      </c>
      <c r="M86" s="328" t="s">
        <v>596</v>
      </c>
    </row>
    <row r="87" spans="1:13">
      <c r="A87" s="309" t="s">
        <v>412</v>
      </c>
      <c r="B87" s="309" t="s">
        <v>413</v>
      </c>
      <c r="C87" s="309" t="s">
        <v>194</v>
      </c>
      <c r="D87" s="309" t="s">
        <v>412</v>
      </c>
      <c r="L87" s="327" t="s">
        <v>599</v>
      </c>
      <c r="M87" s="328" t="s">
        <v>598</v>
      </c>
    </row>
    <row r="88" spans="1:13">
      <c r="A88" s="309" t="s">
        <v>412</v>
      </c>
      <c r="B88" s="309" t="s">
        <v>414</v>
      </c>
      <c r="C88" s="309" t="s">
        <v>195</v>
      </c>
      <c r="D88" s="309" t="s">
        <v>412</v>
      </c>
      <c r="L88" s="327" t="s">
        <v>601</v>
      </c>
      <c r="M88" s="328" t="s">
        <v>600</v>
      </c>
    </row>
    <row r="89" spans="1:13">
      <c r="A89" s="309" t="s">
        <v>412</v>
      </c>
      <c r="B89" s="309" t="s">
        <v>415</v>
      </c>
      <c r="C89" s="309" t="s">
        <v>196</v>
      </c>
      <c r="D89" s="309" t="s">
        <v>412</v>
      </c>
      <c r="L89" s="327" t="s">
        <v>603</v>
      </c>
      <c r="M89" s="328" t="s">
        <v>602</v>
      </c>
    </row>
    <row r="90" spans="1:13">
      <c r="A90" s="309" t="s">
        <v>412</v>
      </c>
      <c r="B90" s="309" t="s">
        <v>416</v>
      </c>
      <c r="C90" s="309" t="s">
        <v>197</v>
      </c>
      <c r="D90" s="309" t="s">
        <v>412</v>
      </c>
      <c r="L90" s="327" t="s">
        <v>605</v>
      </c>
      <c r="M90" s="328" t="s">
        <v>604</v>
      </c>
    </row>
    <row r="91" spans="1:13">
      <c r="A91" s="309" t="s">
        <v>412</v>
      </c>
      <c r="B91" s="309" t="s">
        <v>417</v>
      </c>
      <c r="C91" s="309" t="s">
        <v>198</v>
      </c>
      <c r="D91" s="309" t="s">
        <v>412</v>
      </c>
      <c r="L91" s="327" t="s">
        <v>607</v>
      </c>
      <c r="M91" s="328" t="s">
        <v>606</v>
      </c>
    </row>
    <row r="92" spans="1:13">
      <c r="A92" s="309" t="s">
        <v>412</v>
      </c>
      <c r="B92" s="309" t="s">
        <v>418</v>
      </c>
      <c r="C92" s="309" t="s">
        <v>199</v>
      </c>
      <c r="D92" s="309" t="s">
        <v>412</v>
      </c>
      <c r="L92" s="327" t="s">
        <v>609</v>
      </c>
      <c r="M92" s="328" t="s">
        <v>608</v>
      </c>
    </row>
    <row r="93" spans="1:13">
      <c r="A93" s="309" t="s">
        <v>412</v>
      </c>
      <c r="B93" s="309" t="s">
        <v>420</v>
      </c>
      <c r="C93" s="309" t="s">
        <v>419</v>
      </c>
      <c r="D93" s="309" t="s">
        <v>412</v>
      </c>
      <c r="L93" s="327" t="s">
        <v>611</v>
      </c>
      <c r="M93" s="328" t="s">
        <v>610</v>
      </c>
    </row>
    <row r="94" spans="1:13">
      <c r="A94" s="309" t="s">
        <v>421</v>
      </c>
      <c r="B94" s="309" t="s">
        <v>422</v>
      </c>
      <c r="C94" s="309" t="s">
        <v>200</v>
      </c>
      <c r="D94" s="309" t="s">
        <v>421</v>
      </c>
      <c r="L94" s="327" t="s">
        <v>613</v>
      </c>
      <c r="M94" s="328" t="s">
        <v>612</v>
      </c>
    </row>
    <row r="95" spans="1:13">
      <c r="A95" s="309" t="s">
        <v>421</v>
      </c>
      <c r="B95" s="309" t="s">
        <v>423</v>
      </c>
      <c r="C95" s="309" t="s">
        <v>201</v>
      </c>
      <c r="D95" s="309" t="s">
        <v>421</v>
      </c>
      <c r="L95" s="327" t="s">
        <v>615</v>
      </c>
      <c r="M95" s="328" t="s">
        <v>614</v>
      </c>
    </row>
    <row r="96" spans="1:13">
      <c r="A96" s="309" t="s">
        <v>421</v>
      </c>
      <c r="B96" s="309" t="s">
        <v>424</v>
      </c>
      <c r="C96" s="309" t="s">
        <v>202</v>
      </c>
      <c r="D96" s="309" t="s">
        <v>421</v>
      </c>
      <c r="L96" s="327" t="s">
        <v>617</v>
      </c>
      <c r="M96" s="328" t="s">
        <v>616</v>
      </c>
    </row>
    <row r="97" spans="1:13">
      <c r="A97" s="309" t="s">
        <v>421</v>
      </c>
      <c r="B97" s="309" t="s">
        <v>425</v>
      </c>
      <c r="C97" s="309" t="s">
        <v>203</v>
      </c>
      <c r="D97" s="309" t="s">
        <v>421</v>
      </c>
      <c r="L97" s="327" t="s">
        <v>619</v>
      </c>
      <c r="M97" s="328" t="s">
        <v>618</v>
      </c>
    </row>
    <row r="98" spans="1:13">
      <c r="A98" s="309" t="s">
        <v>421</v>
      </c>
      <c r="B98" s="309" t="s">
        <v>426</v>
      </c>
      <c r="C98" s="309" t="s">
        <v>204</v>
      </c>
      <c r="D98" s="309" t="s">
        <v>421</v>
      </c>
      <c r="L98" s="327" t="s">
        <v>621</v>
      </c>
      <c r="M98" s="328" t="s">
        <v>620</v>
      </c>
    </row>
    <row r="99" spans="1:13">
      <c r="B99" s="285"/>
      <c r="C99" s="285" t="s">
        <v>427</v>
      </c>
      <c r="L99" s="327" t="s">
        <v>624</v>
      </c>
      <c r="M99" s="328" t="s">
        <v>148</v>
      </c>
    </row>
    <row r="100" spans="1:13">
      <c r="B100" s="285" t="s">
        <v>429</v>
      </c>
      <c r="C100" s="285" t="s">
        <v>428</v>
      </c>
      <c r="L100" s="327" t="s">
        <v>625</v>
      </c>
      <c r="M100" s="328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506"/>
  <sheetViews>
    <sheetView showGridLines="0" topLeftCell="A453" workbookViewId="0">
      <selection activeCell="B471" sqref="B471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5" t="s">
        <v>1009</v>
      </c>
      <c r="C450" s="351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L45" sqref="L45"/>
    </sheetView>
  </sheetViews>
  <sheetFormatPr baseColWidth="10" defaultRowHeight="15"/>
  <cols>
    <col min="8" max="8" width="12.5703125" style="369" bestFit="1" customWidth="1"/>
    <col min="11" max="11" width="12.5703125" bestFit="1" customWidth="1"/>
    <col min="12" max="12" width="13.28515625" bestFit="1" customWidth="1"/>
    <col min="13" max="13" width="12.5703125" bestFit="1" customWidth="1"/>
  </cols>
  <sheetData>
    <row r="1" spans="1:14" ht="15.75" thickBot="1"/>
    <row r="2" spans="1:14" ht="39" thickBot="1">
      <c r="A2" s="363" t="s">
        <v>1010</v>
      </c>
      <c r="B2" s="514" t="s">
        <v>627</v>
      </c>
      <c r="C2" s="515"/>
      <c r="D2" s="515"/>
      <c r="E2" s="515"/>
      <c r="F2" s="516"/>
      <c r="G2" s="364" t="s">
        <v>1011</v>
      </c>
      <c r="H2" s="370" t="s">
        <v>1012</v>
      </c>
      <c r="I2" s="365" t="s">
        <v>472</v>
      </c>
      <c r="J2" s="365" t="s">
        <v>1013</v>
      </c>
      <c r="K2" s="364" t="s">
        <v>1014</v>
      </c>
      <c r="L2" s="364" t="s">
        <v>896</v>
      </c>
      <c r="M2" s="365" t="s">
        <v>1015</v>
      </c>
      <c r="N2" s="364" t="s">
        <v>1016</v>
      </c>
    </row>
    <row r="4" spans="1:14">
      <c r="A4" s="366">
        <v>10010101</v>
      </c>
      <c r="B4" s="513" t="s">
        <v>1017</v>
      </c>
      <c r="C4" s="513"/>
      <c r="D4" s="513"/>
      <c r="E4" s="513"/>
      <c r="F4" s="513"/>
      <c r="G4" s="371"/>
      <c r="H4" s="372">
        <f>+SUMIFS('GASTOS MAS INVERSIONES'!$N$14:$N$101,'GASTOS MAS INVERSIONES'!$B$14:$B$101,'Total Presupuesto'!A4,'GASTOS MAS INVERSIONES'!$H$14:$H$101,2)</f>
        <v>0</v>
      </c>
      <c r="I4" s="372">
        <f>+SUMIFS('GASTOS MAS INVERSIONES'!$N$14:$N$101,'GASTOS MAS INVERSIONES'!$B$14:$B$101,'Total Presupuesto'!A4,'GASTOS MAS INVERSIONES'!$H$14:$H$101,7)</f>
        <v>0</v>
      </c>
      <c r="J4" s="371"/>
      <c r="K4" s="373">
        <f>+SUM(H4:J4)</f>
        <v>0</v>
      </c>
      <c r="L4" s="372">
        <f>+SUMIFS('GASTOS MAS INVERSIONES'!$N$14:$N$101,'GASTOS MAS INVERSIONES'!$B$14:$B$101,'Total Presupuesto'!A4,'GASTOS MAS INVERSIONES'!$H$14:$H$101,3)+SUMIFS('GASTOS MAS INVERSIONES'!$N$14:$N$101,'GASTOS MAS INVERSIONES'!$B$14:$B$101,'Total Presupuesto'!A4,'GASTOS MAS INVERSIONES'!$H$14:$H$101,4)+SUMIFS('GASTOS MAS INVERSIONES'!$N$14:$N$101,'GASTOS MAS INVERSIONES'!$B$14:$B$101,'Total Presupuesto'!A4,'GASTOS MAS INVERSIONES'!$H$14:$H$101,6)</f>
        <v>0</v>
      </c>
      <c r="M4" s="373">
        <f>+K4+L4</f>
        <v>0</v>
      </c>
      <c r="N4" s="371"/>
    </row>
    <row r="5" spans="1:14">
      <c r="A5" s="366">
        <v>10010102</v>
      </c>
      <c r="B5" s="513" t="s">
        <v>1018</v>
      </c>
      <c r="C5" s="513"/>
      <c r="D5" s="513"/>
      <c r="E5" s="513"/>
      <c r="F5" s="513"/>
      <c r="G5" s="371"/>
      <c r="H5" s="372">
        <f>+SUMIFS('GASTOS MAS INVERSIONES'!$N$14:$N$101,'GASTOS MAS INVERSIONES'!$B$14:$B$101,'Total Presupuesto'!A5,'GASTOS MAS INVERSIONES'!$H$14:$H$101,2)</f>
        <v>0</v>
      </c>
      <c r="I5" s="372">
        <f>+SUMIFS('GASTOS MAS INVERSIONES'!$N$14:$N$101,'GASTOS MAS INVERSIONES'!$B$14:$B$101,'Total Presupuesto'!A5,'GASTOS MAS INVERSIONES'!$H$14:$H$101,7)</f>
        <v>0</v>
      </c>
      <c r="J5" s="371"/>
      <c r="K5" s="373">
        <f t="shared" ref="K5:K33" si="0">+SUM(H5:J5)</f>
        <v>0</v>
      </c>
      <c r="L5" s="372">
        <f>+SUMIFS('GASTOS MAS INVERSIONES'!$N$14:$N$101,'GASTOS MAS INVERSIONES'!$B$14:$B$101,'Total Presupuesto'!A5,'GASTOS MAS INVERSIONES'!$H$14:$H$101,3)+SUMIFS('GASTOS MAS INVERSIONES'!$N$14:$N$101,'GASTOS MAS INVERSIONES'!$B$14:$B$101,'Total Presupuesto'!A5,'GASTOS MAS INVERSIONES'!$H$14:$H$101,4)+SUMIFS('GASTOS MAS INVERSIONES'!$N$14:$N$101,'GASTOS MAS INVERSIONES'!$B$14:$B$101,'Total Presupuesto'!A5,'GASTOS MAS INVERSIONES'!$H$14:$H$101,6)</f>
        <v>0</v>
      </c>
      <c r="M5" s="373">
        <f t="shared" ref="M5:M33" si="1">+K5+L5</f>
        <v>0</v>
      </c>
      <c r="N5" s="371"/>
    </row>
    <row r="6" spans="1:14">
      <c r="A6" s="366">
        <v>10020101</v>
      </c>
      <c r="B6" s="513" t="s">
        <v>1019</v>
      </c>
      <c r="C6" s="513"/>
      <c r="D6" s="513"/>
      <c r="E6" s="513"/>
      <c r="F6" s="513"/>
      <c r="G6" s="371"/>
      <c r="H6" s="372">
        <f>+SUMIFS('GASTOS MAS INVERSIONES'!$N$14:$N$101,'GASTOS MAS INVERSIONES'!$B$14:$B$101,'Total Presupuesto'!A6,'GASTOS MAS INVERSIONES'!$H$14:$H$101,2)</f>
        <v>0</v>
      </c>
      <c r="I6" s="372">
        <f>+SUMIFS('GASTOS MAS INVERSIONES'!$N$14:$N$101,'GASTOS MAS INVERSIONES'!$B$14:$B$101,'Total Presupuesto'!A6,'GASTOS MAS INVERSIONES'!$H$14:$H$101,7)</f>
        <v>0</v>
      </c>
      <c r="J6" s="371"/>
      <c r="K6" s="373">
        <f t="shared" si="0"/>
        <v>0</v>
      </c>
      <c r="L6" s="372">
        <f>+SUMIFS('GASTOS MAS INVERSIONES'!$N$14:$N$101,'GASTOS MAS INVERSIONES'!$B$14:$B$101,'Total Presupuesto'!A6,'GASTOS MAS INVERSIONES'!$H$14:$H$101,3)+SUMIFS('GASTOS MAS INVERSIONES'!$N$14:$N$101,'GASTOS MAS INVERSIONES'!$B$14:$B$101,'Total Presupuesto'!A6,'GASTOS MAS INVERSIONES'!$H$14:$H$101,4)+SUMIFS('GASTOS MAS INVERSIONES'!$N$14:$N$101,'GASTOS MAS INVERSIONES'!$B$14:$B$101,'Total Presupuesto'!A6,'GASTOS MAS INVERSIONES'!$H$14:$H$101,6)</f>
        <v>0</v>
      </c>
      <c r="M6" s="373">
        <f t="shared" si="1"/>
        <v>0</v>
      </c>
      <c r="N6" s="371"/>
    </row>
    <row r="7" spans="1:14">
      <c r="A7" s="366">
        <v>10020102</v>
      </c>
      <c r="B7" s="513" t="s">
        <v>1020</v>
      </c>
      <c r="C7" s="513"/>
      <c r="D7" s="513"/>
      <c r="E7" s="513"/>
      <c r="F7" s="513"/>
      <c r="G7" s="371"/>
      <c r="H7" s="372">
        <f>+SUMIFS('GASTOS MAS INVERSIONES'!$N$14:$N$101,'GASTOS MAS INVERSIONES'!$B$14:$B$101,'Total Presupuesto'!A7,'GASTOS MAS INVERSIONES'!$H$14:$H$101,2)</f>
        <v>0</v>
      </c>
      <c r="I7" s="372">
        <f>+SUMIFS('GASTOS MAS INVERSIONES'!$N$14:$N$101,'GASTOS MAS INVERSIONES'!$B$14:$B$101,'Total Presupuesto'!A7,'GASTOS MAS INVERSIONES'!$H$14:$H$101,7)</f>
        <v>0</v>
      </c>
      <c r="J7" s="371"/>
      <c r="K7" s="373">
        <f t="shared" si="0"/>
        <v>0</v>
      </c>
      <c r="L7" s="372">
        <f>+SUMIFS('GASTOS MAS INVERSIONES'!$N$14:$N$101,'GASTOS MAS INVERSIONES'!$B$14:$B$101,'Total Presupuesto'!A7,'GASTOS MAS INVERSIONES'!$H$14:$H$101,3)+SUMIFS('GASTOS MAS INVERSIONES'!$N$14:$N$101,'GASTOS MAS INVERSIONES'!$B$14:$B$101,'Total Presupuesto'!A7,'GASTOS MAS INVERSIONES'!$H$14:$H$101,4)+SUMIFS('GASTOS MAS INVERSIONES'!$N$14:$N$101,'GASTOS MAS INVERSIONES'!$B$14:$B$101,'Total Presupuesto'!A7,'GASTOS MAS INVERSIONES'!$H$14:$H$101,6)</f>
        <v>0</v>
      </c>
      <c r="M7" s="373">
        <f t="shared" si="1"/>
        <v>0</v>
      </c>
      <c r="N7" s="371"/>
    </row>
    <row r="8" spans="1:14">
      <c r="A8" s="366">
        <v>10030101</v>
      </c>
      <c r="B8" s="513" t="s">
        <v>1021</v>
      </c>
      <c r="C8" s="513"/>
      <c r="D8" s="513"/>
      <c r="E8" s="513"/>
      <c r="F8" s="513"/>
      <c r="G8" s="371"/>
      <c r="H8" s="372">
        <f>+SUMIFS('GASTOS MAS INVERSIONES'!$N$14:$N$101,'GASTOS MAS INVERSIONES'!$B$14:$B$101,'Total Presupuesto'!A8,'GASTOS MAS INVERSIONES'!$H$14:$H$101,2)</f>
        <v>0</v>
      </c>
      <c r="I8" s="372">
        <f>+SUMIFS('GASTOS MAS INVERSIONES'!$N$14:$N$101,'GASTOS MAS INVERSIONES'!$B$14:$B$101,'Total Presupuesto'!A8,'GASTOS MAS INVERSIONES'!$H$14:$H$101,7)</f>
        <v>0</v>
      </c>
      <c r="J8" s="371"/>
      <c r="K8" s="373">
        <f t="shared" si="0"/>
        <v>0</v>
      </c>
      <c r="L8" s="372">
        <f>+SUMIFS('GASTOS MAS INVERSIONES'!$N$14:$N$101,'GASTOS MAS INVERSIONES'!$B$14:$B$101,'Total Presupuesto'!A8,'GASTOS MAS INVERSIONES'!$H$14:$H$101,3)+SUMIFS('GASTOS MAS INVERSIONES'!$N$14:$N$101,'GASTOS MAS INVERSIONES'!$B$14:$B$101,'Total Presupuesto'!A8,'GASTOS MAS INVERSIONES'!$H$14:$H$101,4)+SUMIFS('GASTOS MAS INVERSIONES'!$N$14:$N$101,'GASTOS MAS INVERSIONES'!$B$14:$B$101,'Total Presupuesto'!A8,'GASTOS MAS INVERSIONES'!$H$14:$H$101,6)</f>
        <v>0</v>
      </c>
      <c r="M8" s="373">
        <f t="shared" si="1"/>
        <v>0</v>
      </c>
      <c r="N8" s="371"/>
    </row>
    <row r="9" spans="1:14">
      <c r="A9" s="366">
        <v>10030102</v>
      </c>
      <c r="B9" s="513" t="s">
        <v>1022</v>
      </c>
      <c r="C9" s="513"/>
      <c r="D9" s="513"/>
      <c r="E9" s="513"/>
      <c r="F9" s="513"/>
      <c r="G9" s="371"/>
      <c r="H9" s="372">
        <f>+SUMIFS('GASTOS MAS INVERSIONES'!$N$14:$N$101,'GASTOS MAS INVERSIONES'!$B$14:$B$101,'Total Presupuesto'!A9,'GASTOS MAS INVERSIONES'!$H$14:$H$101,2)</f>
        <v>0</v>
      </c>
      <c r="I9" s="372">
        <f>+SUMIFS('GASTOS MAS INVERSIONES'!$N$14:$N$101,'GASTOS MAS INVERSIONES'!$B$14:$B$101,'Total Presupuesto'!A9,'GASTOS MAS INVERSIONES'!$H$14:$H$101,7)</f>
        <v>0</v>
      </c>
      <c r="J9" s="371"/>
      <c r="K9" s="373">
        <f t="shared" si="0"/>
        <v>0</v>
      </c>
      <c r="L9" s="372">
        <f>+SUMIFS('GASTOS MAS INVERSIONES'!$N$14:$N$101,'GASTOS MAS INVERSIONES'!$B$14:$B$101,'Total Presupuesto'!A9,'GASTOS MAS INVERSIONES'!$H$14:$H$101,3)+SUMIFS('GASTOS MAS INVERSIONES'!$N$14:$N$101,'GASTOS MAS INVERSIONES'!$B$14:$B$101,'Total Presupuesto'!A9,'GASTOS MAS INVERSIONES'!$H$14:$H$101,4)+SUMIFS('GASTOS MAS INVERSIONES'!$N$14:$N$101,'GASTOS MAS INVERSIONES'!$B$14:$B$101,'Total Presupuesto'!A9,'GASTOS MAS INVERSIONES'!$H$14:$H$101,6)</f>
        <v>0</v>
      </c>
      <c r="M9" s="373">
        <f t="shared" si="1"/>
        <v>0</v>
      </c>
      <c r="N9" s="371"/>
    </row>
    <row r="10" spans="1:14">
      <c r="A10" s="366">
        <v>10040101</v>
      </c>
      <c r="B10" s="513" t="s">
        <v>1023</v>
      </c>
      <c r="C10" s="513"/>
      <c r="D10" s="513"/>
      <c r="E10" s="513"/>
      <c r="F10" s="513"/>
      <c r="G10" s="371"/>
      <c r="H10" s="372">
        <f>+SUMIFS('GASTOS MAS INVERSIONES'!$N$14:$N$101,'GASTOS MAS INVERSIONES'!$B$14:$B$101,'Total Presupuesto'!A10,'GASTOS MAS INVERSIONES'!$H$14:$H$101,2)</f>
        <v>0</v>
      </c>
      <c r="I10" s="372">
        <f>+SUMIFS('GASTOS MAS INVERSIONES'!$N$14:$N$101,'GASTOS MAS INVERSIONES'!$B$14:$B$101,'Total Presupuesto'!A10,'GASTOS MAS INVERSIONES'!$H$14:$H$101,7)</f>
        <v>0</v>
      </c>
      <c r="J10" s="371"/>
      <c r="K10" s="373">
        <f t="shared" si="0"/>
        <v>0</v>
      </c>
      <c r="L10" s="372">
        <f>+SUMIFS('GASTOS MAS INVERSIONES'!$N$14:$N$101,'GASTOS MAS INVERSIONES'!$B$14:$B$101,'Total Presupuesto'!A10,'GASTOS MAS INVERSIONES'!$H$14:$H$101,3)+SUMIFS('GASTOS MAS INVERSIONES'!$N$14:$N$101,'GASTOS MAS INVERSIONES'!$B$14:$B$101,'Total Presupuesto'!A10,'GASTOS MAS INVERSIONES'!$H$14:$H$101,4)+SUMIFS('GASTOS MAS INVERSIONES'!$N$14:$N$101,'GASTOS MAS INVERSIONES'!$B$14:$B$101,'Total Presupuesto'!A10,'GASTOS MAS INVERSIONES'!$H$14:$H$101,6)</f>
        <v>0</v>
      </c>
      <c r="M10" s="373">
        <f t="shared" si="1"/>
        <v>0</v>
      </c>
      <c r="N10" s="371"/>
    </row>
    <row r="11" spans="1:14">
      <c r="A11" s="366">
        <v>10040102</v>
      </c>
      <c r="B11" s="513" t="s">
        <v>1024</v>
      </c>
      <c r="C11" s="513"/>
      <c r="D11" s="513"/>
      <c r="E11" s="513"/>
      <c r="F11" s="513"/>
      <c r="G11" s="371"/>
      <c r="H11" s="372">
        <f>+SUMIFS('GASTOS MAS INVERSIONES'!$N$14:$N$101,'GASTOS MAS INVERSIONES'!$B$14:$B$101,'Total Presupuesto'!A11,'GASTOS MAS INVERSIONES'!$H$14:$H$101,2)</f>
        <v>0</v>
      </c>
      <c r="I11" s="372">
        <f>+SUMIFS('GASTOS MAS INVERSIONES'!$N$14:$N$101,'GASTOS MAS INVERSIONES'!$B$14:$B$101,'Total Presupuesto'!A11,'GASTOS MAS INVERSIONES'!$H$14:$H$101,7)</f>
        <v>0</v>
      </c>
      <c r="J11" s="371"/>
      <c r="K11" s="373">
        <f t="shared" si="0"/>
        <v>0</v>
      </c>
      <c r="L11" s="372">
        <f>+SUMIFS('GASTOS MAS INVERSIONES'!$N$14:$N$101,'GASTOS MAS INVERSIONES'!$B$14:$B$101,'Total Presupuesto'!A11,'GASTOS MAS INVERSIONES'!$H$14:$H$101,3)+SUMIFS('GASTOS MAS INVERSIONES'!$N$14:$N$101,'GASTOS MAS INVERSIONES'!$B$14:$B$101,'Total Presupuesto'!A11,'GASTOS MAS INVERSIONES'!$H$14:$H$101,4)+SUMIFS('GASTOS MAS INVERSIONES'!$N$14:$N$101,'GASTOS MAS INVERSIONES'!$B$14:$B$101,'Total Presupuesto'!A11,'GASTOS MAS INVERSIONES'!$H$14:$H$101,6)</f>
        <v>0</v>
      </c>
      <c r="M11" s="373">
        <f t="shared" si="1"/>
        <v>0</v>
      </c>
      <c r="N11" s="371"/>
    </row>
    <row r="12" spans="1:14">
      <c r="A12" s="366">
        <v>10040103</v>
      </c>
      <c r="B12" s="513" t="s">
        <v>1025</v>
      </c>
      <c r="C12" s="513"/>
      <c r="D12" s="513"/>
      <c r="E12" s="513"/>
      <c r="F12" s="513"/>
      <c r="G12" s="371"/>
      <c r="H12" s="372">
        <f>+SUMIFS('GASTOS MAS INVERSIONES'!$N$14:$N$101,'GASTOS MAS INVERSIONES'!$B$14:$B$101,'Total Presupuesto'!A12,'GASTOS MAS INVERSIONES'!$H$14:$H$101,2)</f>
        <v>0</v>
      </c>
      <c r="I12" s="372">
        <f>+SUMIFS('GASTOS MAS INVERSIONES'!$N$14:$N$101,'GASTOS MAS INVERSIONES'!$B$14:$B$101,'Total Presupuesto'!A12,'GASTOS MAS INVERSIONES'!$H$14:$H$101,7)</f>
        <v>0</v>
      </c>
      <c r="J12" s="371"/>
      <c r="K12" s="373">
        <f t="shared" si="0"/>
        <v>0</v>
      </c>
      <c r="L12" s="372">
        <f>+SUMIFS('GASTOS MAS INVERSIONES'!$N$14:$N$101,'GASTOS MAS INVERSIONES'!$B$14:$B$101,'Total Presupuesto'!A12,'GASTOS MAS INVERSIONES'!$H$14:$H$101,3)+SUMIFS('GASTOS MAS INVERSIONES'!$N$14:$N$101,'GASTOS MAS INVERSIONES'!$B$14:$B$101,'Total Presupuesto'!A12,'GASTOS MAS INVERSIONES'!$H$14:$H$101,4)+SUMIFS('GASTOS MAS INVERSIONES'!$N$14:$N$101,'GASTOS MAS INVERSIONES'!$B$14:$B$101,'Total Presupuesto'!A12,'GASTOS MAS INVERSIONES'!$H$14:$H$101,6)</f>
        <v>0</v>
      </c>
      <c r="M12" s="373">
        <f t="shared" si="1"/>
        <v>0</v>
      </c>
      <c r="N12" s="371"/>
    </row>
    <row r="13" spans="1:14">
      <c r="A13" s="366">
        <v>10040104</v>
      </c>
      <c r="B13" s="513" t="s">
        <v>1026</v>
      </c>
      <c r="C13" s="513"/>
      <c r="D13" s="513"/>
      <c r="E13" s="513"/>
      <c r="F13" s="513"/>
      <c r="G13" s="371"/>
      <c r="H13" s="372">
        <f>+SUMIFS('GASTOS MAS INVERSIONES'!$N$14:$N$101,'GASTOS MAS INVERSIONES'!$B$14:$B$101,'Total Presupuesto'!A13,'GASTOS MAS INVERSIONES'!$H$14:$H$101,2)</f>
        <v>0</v>
      </c>
      <c r="I13" s="372">
        <f>+SUMIFS('GASTOS MAS INVERSIONES'!$N$14:$N$101,'GASTOS MAS INVERSIONES'!$B$14:$B$101,'Total Presupuesto'!A13,'GASTOS MAS INVERSIONES'!$H$14:$H$101,7)</f>
        <v>0</v>
      </c>
      <c r="J13" s="371"/>
      <c r="K13" s="373">
        <f t="shared" si="0"/>
        <v>0</v>
      </c>
      <c r="L13" s="372">
        <f>+SUMIFS('GASTOS MAS INVERSIONES'!$N$14:$N$101,'GASTOS MAS INVERSIONES'!$B$14:$B$101,'Total Presupuesto'!A13,'GASTOS MAS INVERSIONES'!$H$14:$H$101,3)+SUMIFS('GASTOS MAS INVERSIONES'!$N$14:$N$101,'GASTOS MAS INVERSIONES'!$B$14:$B$101,'Total Presupuesto'!A13,'GASTOS MAS INVERSIONES'!$H$14:$H$101,4)+SUMIFS('GASTOS MAS INVERSIONES'!$N$14:$N$101,'GASTOS MAS INVERSIONES'!$B$14:$B$101,'Total Presupuesto'!A13,'GASTOS MAS INVERSIONES'!$H$14:$H$101,6)</f>
        <v>0</v>
      </c>
      <c r="M13" s="373">
        <f t="shared" si="1"/>
        <v>0</v>
      </c>
      <c r="N13" s="371"/>
    </row>
    <row r="14" spans="1:14">
      <c r="A14" s="366">
        <v>10050101</v>
      </c>
      <c r="B14" s="513" t="s">
        <v>1027</v>
      </c>
      <c r="C14" s="513"/>
      <c r="D14" s="513"/>
      <c r="E14" s="513"/>
      <c r="F14" s="513"/>
      <c r="G14" s="371"/>
      <c r="H14" s="372">
        <f>+SUMIFS('GASTOS MAS INVERSIONES'!$N$14:$N$101,'GASTOS MAS INVERSIONES'!$B$14:$B$101,'Total Presupuesto'!A14,'GASTOS MAS INVERSIONES'!$H$14:$H$101,5)</f>
        <v>0</v>
      </c>
      <c r="I14" s="372">
        <f>+SUMIFS('GASTOS MAS INVERSIONES'!$N$14:$N$101,'GASTOS MAS INVERSIONES'!$B$14:$B$101,'Total Presupuesto'!A14,'GASTOS MAS INVERSIONES'!$H$14:$H$101,7)</f>
        <v>0</v>
      </c>
      <c r="J14" s="371"/>
      <c r="K14" s="373">
        <f t="shared" si="0"/>
        <v>0</v>
      </c>
      <c r="L14" s="372">
        <f>+SUMIFS('GASTOS MAS INVERSIONES'!$N$14:$N$101,'GASTOS MAS INVERSIONES'!$B$14:$B$101,'Total Presupuesto'!A14,'GASTOS MAS INVERSIONES'!$H$14:$H$101,3)+SUMIFS('GASTOS MAS INVERSIONES'!$N$14:$N$101,'GASTOS MAS INVERSIONES'!$B$14:$B$101,'Total Presupuesto'!A14,'GASTOS MAS INVERSIONES'!$H$14:$H$101,4)+SUMIFS('GASTOS MAS INVERSIONES'!$N$14:$N$101,'GASTOS MAS INVERSIONES'!$B$14:$B$101,'Total Presupuesto'!A14,'GASTOS MAS INVERSIONES'!$H$14:$H$101,6)</f>
        <v>0</v>
      </c>
      <c r="M14" s="373">
        <f t="shared" si="1"/>
        <v>0</v>
      </c>
      <c r="N14" s="371"/>
    </row>
    <row r="15" spans="1:14">
      <c r="A15" s="366">
        <v>10050102</v>
      </c>
      <c r="B15" s="513" t="s">
        <v>1028</v>
      </c>
      <c r="C15" s="513"/>
      <c r="D15" s="513"/>
      <c r="E15" s="513"/>
      <c r="F15" s="513"/>
      <c r="G15" s="371"/>
      <c r="H15" s="372">
        <f>+SUMIFS('GASTOS MAS INVERSIONES'!$N$14:$N$101,'GASTOS MAS INVERSIONES'!$B$14:$B$101,'Total Presupuesto'!A15,'GASTOS MAS INVERSIONES'!$H$14:$H$101,5)</f>
        <v>0</v>
      </c>
      <c r="I15" s="372">
        <f>+SUMIFS('GASTOS MAS INVERSIONES'!$N$14:$N$101,'GASTOS MAS INVERSIONES'!$B$14:$B$101,'Total Presupuesto'!A15,'GASTOS MAS INVERSIONES'!$H$14:$H$101,7)</f>
        <v>0</v>
      </c>
      <c r="J15" s="371"/>
      <c r="K15" s="373">
        <f t="shared" si="0"/>
        <v>0</v>
      </c>
      <c r="L15" s="372">
        <f>+SUMIFS('GASTOS MAS INVERSIONES'!$N$14:$N$101,'GASTOS MAS INVERSIONES'!$B$14:$B$101,'Total Presupuesto'!A15,'GASTOS MAS INVERSIONES'!$H$14:$H$101,3)+SUMIFS('GASTOS MAS INVERSIONES'!$N$14:$N$101,'GASTOS MAS INVERSIONES'!$B$14:$B$101,'Total Presupuesto'!A15,'GASTOS MAS INVERSIONES'!$H$14:$H$101,4)+SUMIFS('GASTOS MAS INVERSIONES'!$N$14:$N$101,'GASTOS MAS INVERSIONES'!$B$14:$B$101,'Total Presupuesto'!A15,'GASTOS MAS INVERSIONES'!$H$14:$H$101,6)</f>
        <v>0</v>
      </c>
      <c r="M15" s="373">
        <f t="shared" si="1"/>
        <v>0</v>
      </c>
      <c r="N15" s="371"/>
    </row>
    <row r="16" spans="1:14">
      <c r="A16" s="366">
        <v>10060101</v>
      </c>
      <c r="B16" s="513" t="s">
        <v>1029</v>
      </c>
      <c r="C16" s="513"/>
      <c r="D16" s="513"/>
      <c r="E16" s="513"/>
      <c r="F16" s="513"/>
      <c r="G16" s="371"/>
      <c r="H16" s="372">
        <f>+SUMIFS('GASTOS MAS INVERSIONES'!$N$14:$N$101,'GASTOS MAS INVERSIONES'!$B$14:$B$101,'Total Presupuesto'!A16,'GASTOS MAS INVERSIONES'!$H$14:$H$101,2)</f>
        <v>0</v>
      </c>
      <c r="I16" s="372">
        <f>+SUMIFS('GASTOS MAS INVERSIONES'!$N$14:$N$101,'GASTOS MAS INVERSIONES'!$B$14:$B$101,'Total Presupuesto'!A16,'GASTOS MAS INVERSIONES'!$H$14:$H$101,7)</f>
        <v>0</v>
      </c>
      <c r="J16" s="371"/>
      <c r="K16" s="373">
        <f t="shared" si="0"/>
        <v>0</v>
      </c>
      <c r="L16" s="372">
        <f>+SUMIFS('GASTOS MAS INVERSIONES'!$N$14:$N$101,'GASTOS MAS INVERSIONES'!$B$14:$B$101,'Total Presupuesto'!A16,'GASTOS MAS INVERSIONES'!$H$14:$H$101,3)+SUMIFS('GASTOS MAS INVERSIONES'!$N$14:$N$101,'GASTOS MAS INVERSIONES'!$B$14:$B$101,'Total Presupuesto'!A16,'GASTOS MAS INVERSIONES'!$H$14:$H$101,4)+SUMIFS('GASTOS MAS INVERSIONES'!$N$14:$N$101,'GASTOS MAS INVERSIONES'!$B$14:$B$101,'Total Presupuesto'!A16,'GASTOS MAS INVERSIONES'!$H$14:$H$101,6)</f>
        <v>0</v>
      </c>
      <c r="M16" s="373">
        <f t="shared" si="1"/>
        <v>0</v>
      </c>
      <c r="N16" s="371"/>
    </row>
    <row r="17" spans="1:14">
      <c r="A17" s="366">
        <v>10070101</v>
      </c>
      <c r="B17" s="513" t="s">
        <v>1030</v>
      </c>
      <c r="C17" s="513"/>
      <c r="D17" s="513"/>
      <c r="E17" s="513"/>
      <c r="F17" s="513"/>
      <c r="G17" s="371"/>
      <c r="H17" s="372">
        <f>+SUMIFS('GASTOS MAS INVERSIONES'!$N$14:$N$101,'GASTOS MAS INVERSIONES'!$B$14:$B$101,'Total Presupuesto'!A17,'GASTOS MAS INVERSIONES'!$H$14:$H$101,2)</f>
        <v>0</v>
      </c>
      <c r="I17" s="372">
        <f>+SUMIFS('GASTOS MAS INVERSIONES'!$N$14:$N$101,'GASTOS MAS INVERSIONES'!$B$14:$B$101,'Total Presupuesto'!A17,'GASTOS MAS INVERSIONES'!$H$14:$H$101,7)</f>
        <v>0</v>
      </c>
      <c r="J17" s="371"/>
      <c r="K17" s="373">
        <f t="shared" si="0"/>
        <v>0</v>
      </c>
      <c r="L17" s="372">
        <f>+SUMIFS('GASTOS MAS INVERSIONES'!$N$14:$N$101,'GASTOS MAS INVERSIONES'!$B$14:$B$101,'Total Presupuesto'!A17,'GASTOS MAS INVERSIONES'!$H$14:$H$101,3)+SUMIFS('GASTOS MAS INVERSIONES'!$N$14:$N$101,'GASTOS MAS INVERSIONES'!$B$14:$B$101,'Total Presupuesto'!A17,'GASTOS MAS INVERSIONES'!$H$14:$H$101,4)+SUMIFS('GASTOS MAS INVERSIONES'!$N$14:$N$101,'GASTOS MAS INVERSIONES'!$B$14:$B$101,'Total Presupuesto'!A17,'GASTOS MAS INVERSIONES'!$H$14:$H$101,6)</f>
        <v>0</v>
      </c>
      <c r="M17" s="373">
        <f t="shared" si="1"/>
        <v>0</v>
      </c>
      <c r="N17" s="371"/>
    </row>
    <row r="18" spans="1:14">
      <c r="A18" s="366">
        <v>10070102</v>
      </c>
      <c r="B18" s="513" t="s">
        <v>1031</v>
      </c>
      <c r="C18" s="513"/>
      <c r="D18" s="513"/>
      <c r="E18" s="513"/>
      <c r="F18" s="513"/>
      <c r="G18" s="371"/>
      <c r="H18" s="372">
        <f>+SUMIFS('GASTOS MAS INVERSIONES'!$N$14:$N$101,'GASTOS MAS INVERSIONES'!$B$14:$B$101,'Total Presupuesto'!A18,'GASTOS MAS INVERSIONES'!$H$14:$H$101,2)</f>
        <v>0</v>
      </c>
      <c r="I18" s="372">
        <f>+SUMIFS('GASTOS MAS INVERSIONES'!$N$14:$N$101,'GASTOS MAS INVERSIONES'!$B$14:$B$101,'Total Presupuesto'!A18,'GASTOS MAS INVERSIONES'!$H$14:$H$101,7)</f>
        <v>0</v>
      </c>
      <c r="J18" s="371"/>
      <c r="K18" s="373">
        <f t="shared" si="0"/>
        <v>0</v>
      </c>
      <c r="L18" s="372">
        <f>+SUMIFS('GASTOS MAS INVERSIONES'!$N$14:$N$101,'GASTOS MAS INVERSIONES'!$B$14:$B$101,'Total Presupuesto'!A18,'GASTOS MAS INVERSIONES'!$H$14:$H$101,3)+SUMIFS('GASTOS MAS INVERSIONES'!$N$14:$N$101,'GASTOS MAS INVERSIONES'!$B$14:$B$101,'Total Presupuesto'!A18,'GASTOS MAS INVERSIONES'!$H$14:$H$101,4)+SUMIFS('GASTOS MAS INVERSIONES'!$N$14:$N$101,'GASTOS MAS INVERSIONES'!$B$14:$B$101,'Total Presupuesto'!A18,'GASTOS MAS INVERSIONES'!$H$14:$H$101,6)</f>
        <v>0</v>
      </c>
      <c r="M18" s="373">
        <f t="shared" si="1"/>
        <v>0</v>
      </c>
      <c r="N18" s="371"/>
    </row>
    <row r="19" spans="1:14">
      <c r="A19" s="366">
        <v>10070103</v>
      </c>
      <c r="B19" s="513" t="s">
        <v>1032</v>
      </c>
      <c r="C19" s="513"/>
      <c r="D19" s="513"/>
      <c r="E19" s="513"/>
      <c r="F19" s="513"/>
      <c r="G19" s="371"/>
      <c r="H19" s="372">
        <f>+SUMIFS('GASTOS MAS INVERSIONES'!$N$14:$N$101,'GASTOS MAS INVERSIONES'!$B$14:$B$101,'Total Presupuesto'!A19,'GASTOS MAS INVERSIONES'!$H$14:$H$101,2)</f>
        <v>0</v>
      </c>
      <c r="I19" s="372">
        <f>+SUMIFS('GASTOS MAS INVERSIONES'!$N$14:$N$101,'GASTOS MAS INVERSIONES'!$B$14:$B$101,'Total Presupuesto'!A19,'GASTOS MAS INVERSIONES'!$H$14:$H$101,7)</f>
        <v>0</v>
      </c>
      <c r="J19" s="371"/>
      <c r="K19" s="373">
        <f t="shared" si="0"/>
        <v>0</v>
      </c>
      <c r="L19" s="372">
        <f>+SUMIFS('GASTOS MAS INVERSIONES'!$N$14:$N$101,'GASTOS MAS INVERSIONES'!$B$14:$B$101,'Total Presupuesto'!A19,'GASTOS MAS INVERSIONES'!$H$14:$H$101,3)+SUMIFS('GASTOS MAS INVERSIONES'!$N$14:$N$101,'GASTOS MAS INVERSIONES'!$B$14:$B$101,'Total Presupuesto'!A19,'GASTOS MAS INVERSIONES'!$H$14:$H$101,4)+SUMIFS('GASTOS MAS INVERSIONES'!$N$14:$N$101,'GASTOS MAS INVERSIONES'!$B$14:$B$101,'Total Presupuesto'!A19,'GASTOS MAS INVERSIONES'!$H$14:$H$101,6)</f>
        <v>0</v>
      </c>
      <c r="M19" s="373">
        <f t="shared" si="1"/>
        <v>0</v>
      </c>
      <c r="N19" s="371"/>
    </row>
    <row r="20" spans="1:14">
      <c r="A20" s="366">
        <v>10080101</v>
      </c>
      <c r="B20" s="513" t="s">
        <v>1033</v>
      </c>
      <c r="C20" s="513"/>
      <c r="D20" s="513"/>
      <c r="E20" s="513"/>
      <c r="F20" s="513"/>
      <c r="G20" s="371"/>
      <c r="H20" s="372">
        <f>+SUMIFS('GASTOS MAS INVERSIONES'!$N$14:$N$101,'GASTOS MAS INVERSIONES'!$B$14:$B$101,'Total Presupuesto'!A20,'GASTOS MAS INVERSIONES'!$H$14:$H$101,2)</f>
        <v>0</v>
      </c>
      <c r="I20" s="372">
        <f>+SUMIFS('GASTOS MAS INVERSIONES'!$N$14:$N$101,'GASTOS MAS INVERSIONES'!$B$14:$B$101,'Total Presupuesto'!A20,'GASTOS MAS INVERSIONES'!$H$14:$H$101,7)</f>
        <v>0</v>
      </c>
      <c r="J20" s="371"/>
      <c r="K20" s="373">
        <f t="shared" si="0"/>
        <v>0</v>
      </c>
      <c r="L20" s="372">
        <f>+SUMIFS('GASTOS MAS INVERSIONES'!$N$14:$N$101,'GASTOS MAS INVERSIONES'!$B$14:$B$101,'Total Presupuesto'!A20,'GASTOS MAS INVERSIONES'!$H$14:$H$101,3)+SUMIFS('GASTOS MAS INVERSIONES'!$N$14:$N$101,'GASTOS MAS INVERSIONES'!$B$14:$B$101,'Total Presupuesto'!A20,'GASTOS MAS INVERSIONES'!$H$14:$H$101,4)+SUMIFS('GASTOS MAS INVERSIONES'!$N$14:$N$101,'GASTOS MAS INVERSIONES'!$B$14:$B$101,'Total Presupuesto'!A20,'GASTOS MAS INVERSIONES'!$H$14:$H$101,6)</f>
        <v>0</v>
      </c>
      <c r="M20" s="373">
        <f t="shared" si="1"/>
        <v>0</v>
      </c>
      <c r="N20" s="371"/>
    </row>
    <row r="21" spans="1:14">
      <c r="A21" s="366">
        <v>10080102</v>
      </c>
      <c r="B21" s="513" t="s">
        <v>1034</v>
      </c>
      <c r="C21" s="513"/>
      <c r="D21" s="513"/>
      <c r="E21" s="513"/>
      <c r="F21" s="513"/>
      <c r="G21" s="371"/>
      <c r="H21" s="372">
        <f>+SUMIFS('GASTOS MAS INVERSIONES'!$N$14:$N$101,'GASTOS MAS INVERSIONES'!$B$14:$B$101,'Total Presupuesto'!A21,'GASTOS MAS INVERSIONES'!$H$14:$H$101,2)</f>
        <v>0</v>
      </c>
      <c r="I21" s="372">
        <f>+SUMIFS('GASTOS MAS INVERSIONES'!$N$14:$N$101,'GASTOS MAS INVERSIONES'!$B$14:$B$101,'Total Presupuesto'!A21,'GASTOS MAS INVERSIONES'!$H$14:$H$101,7)</f>
        <v>0</v>
      </c>
      <c r="J21" s="371"/>
      <c r="K21" s="373">
        <f t="shared" si="0"/>
        <v>0</v>
      </c>
      <c r="L21" s="372">
        <f>+SUMIFS('GASTOS MAS INVERSIONES'!$N$14:$N$101,'GASTOS MAS INVERSIONES'!$B$14:$B$101,'Total Presupuesto'!A21,'GASTOS MAS INVERSIONES'!$H$14:$H$101,3)+SUMIFS('GASTOS MAS INVERSIONES'!$N$14:$N$101,'GASTOS MAS INVERSIONES'!$B$14:$B$101,'Total Presupuesto'!A21,'GASTOS MAS INVERSIONES'!$H$14:$H$101,4)+SUMIFS('GASTOS MAS INVERSIONES'!$N$14:$N$101,'GASTOS MAS INVERSIONES'!$B$14:$B$101,'Total Presupuesto'!A21,'GASTOS MAS INVERSIONES'!$H$14:$H$101,6)</f>
        <v>0</v>
      </c>
      <c r="M21" s="373">
        <f t="shared" si="1"/>
        <v>0</v>
      </c>
      <c r="N21" s="371"/>
    </row>
    <row r="22" spans="1:14">
      <c r="A22" s="366">
        <v>10090101</v>
      </c>
      <c r="B22" s="513" t="s">
        <v>1035</v>
      </c>
      <c r="C22" s="513"/>
      <c r="D22" s="513"/>
      <c r="E22" s="513"/>
      <c r="F22" s="513"/>
      <c r="G22" s="371"/>
      <c r="H22" s="372">
        <f>+SUMIFS('GASTOS MAS INVERSIONES'!$N$14:$N$101,'GASTOS MAS INVERSIONES'!$B$14:$B$101,'Total Presupuesto'!A22,'GASTOS MAS INVERSIONES'!$H$14:$H$101,2)</f>
        <v>274590000</v>
      </c>
      <c r="I22" s="372">
        <f>+SUMIFS('GASTOS MAS INVERSIONES'!$N$14:$N$101,'GASTOS MAS INVERSIONES'!$B$14:$B$101,'Total Presupuesto'!A22,'GASTOS MAS INVERSIONES'!$H$14:$H$101,7)</f>
        <v>0</v>
      </c>
      <c r="J22" s="371"/>
      <c r="K22" s="373">
        <f t="shared" si="0"/>
        <v>274590000</v>
      </c>
      <c r="L22" s="372">
        <f>+SUMIFS('GASTOS MAS INVERSIONES'!$N$14:$N$101,'GASTOS MAS INVERSIONES'!$B$14:$B$101,'Total Presupuesto'!A22,'GASTOS MAS INVERSIONES'!$H$14:$H$101,3)+SUMIFS('GASTOS MAS INVERSIONES'!$N$14:$N$101,'GASTOS MAS INVERSIONES'!$B$14:$B$101,'Total Presupuesto'!A22,'GASTOS MAS INVERSIONES'!$H$14:$H$101,4)+SUMIFS('GASTOS MAS INVERSIONES'!$N$14:$N$101,'GASTOS MAS INVERSIONES'!$B$14:$B$101,'Total Presupuesto'!A22,'GASTOS MAS INVERSIONES'!$H$14:$H$101,6)</f>
        <v>44500000</v>
      </c>
      <c r="M22" s="373">
        <f t="shared" si="1"/>
        <v>319090000</v>
      </c>
      <c r="N22" s="371"/>
    </row>
    <row r="23" spans="1:14">
      <c r="A23" s="366">
        <v>10100101</v>
      </c>
      <c r="B23" s="513" t="s">
        <v>1036</v>
      </c>
      <c r="C23" s="513"/>
      <c r="D23" s="513"/>
      <c r="E23" s="513"/>
      <c r="F23" s="513"/>
      <c r="G23" s="371"/>
      <c r="H23" s="372">
        <f>+SUMIFS('GASTOS MAS INVERSIONES'!$N$14:$N$101,'GASTOS MAS INVERSIONES'!$B$14:$B$101,'Total Presupuesto'!A23,'GASTOS MAS INVERSIONES'!$H$14:$H$101,2)</f>
        <v>0</v>
      </c>
      <c r="I23" s="372">
        <f>+SUMIFS('GASTOS MAS INVERSIONES'!$N$14:$N$101,'GASTOS MAS INVERSIONES'!$B$14:$B$101,'Total Presupuesto'!A23,'GASTOS MAS INVERSIONES'!$H$14:$H$101,7)</f>
        <v>0</v>
      </c>
      <c r="J23" s="371"/>
      <c r="K23" s="373">
        <f t="shared" si="0"/>
        <v>0</v>
      </c>
      <c r="L23" s="372">
        <f>+SUMIFS('GASTOS MAS INVERSIONES'!$N$14:$N$101,'GASTOS MAS INVERSIONES'!$B$14:$B$101,'Total Presupuesto'!A23,'GASTOS MAS INVERSIONES'!$H$14:$H$101,3)+SUMIFS('GASTOS MAS INVERSIONES'!$N$14:$N$101,'GASTOS MAS INVERSIONES'!$B$14:$B$101,'Total Presupuesto'!A23,'GASTOS MAS INVERSIONES'!$H$14:$H$101,4)+SUMIFS('GASTOS MAS INVERSIONES'!$N$14:$N$101,'GASTOS MAS INVERSIONES'!$B$14:$B$101,'Total Presupuesto'!A23,'GASTOS MAS INVERSIONES'!$H$14:$H$101,6)</f>
        <v>0</v>
      </c>
      <c r="M23" s="373">
        <f t="shared" si="1"/>
        <v>0</v>
      </c>
      <c r="N23" s="371"/>
    </row>
    <row r="24" spans="1:14">
      <c r="A24" s="366">
        <v>10110101</v>
      </c>
      <c r="B24" s="513" t="s">
        <v>1037</v>
      </c>
      <c r="C24" s="513"/>
      <c r="D24" s="513"/>
      <c r="E24" s="513"/>
      <c r="F24" s="513"/>
      <c r="G24" s="371"/>
      <c r="H24" s="372">
        <f>+SUMIFS('GASTOS MAS INVERSIONES'!$N$14:$N$101,'GASTOS MAS INVERSIONES'!$B$14:$B$101,'Total Presupuesto'!A24,'GASTOS MAS INVERSIONES'!$H$14:$H$101,2)</f>
        <v>0</v>
      </c>
      <c r="I24" s="372">
        <f>+SUMIFS('GASTOS MAS INVERSIONES'!$N$14:$N$101,'GASTOS MAS INVERSIONES'!$B$14:$B$101,'Total Presupuesto'!A24,'GASTOS MAS INVERSIONES'!$H$14:$H$101,7)</f>
        <v>0</v>
      </c>
      <c r="J24" s="371"/>
      <c r="K24" s="373">
        <f t="shared" si="0"/>
        <v>0</v>
      </c>
      <c r="L24" s="372">
        <f>+SUMIFS('GASTOS MAS INVERSIONES'!$N$14:$N$101,'GASTOS MAS INVERSIONES'!$B$14:$B$101,'Total Presupuesto'!A24,'GASTOS MAS INVERSIONES'!$H$14:$H$101,3)+SUMIFS('GASTOS MAS INVERSIONES'!$N$14:$N$101,'GASTOS MAS INVERSIONES'!$B$14:$B$101,'Total Presupuesto'!A24,'GASTOS MAS INVERSIONES'!$H$14:$H$101,4)+SUMIFS('GASTOS MAS INVERSIONES'!$N$14:$N$101,'GASTOS MAS INVERSIONES'!$B$14:$B$101,'Total Presupuesto'!A24,'GASTOS MAS INVERSIONES'!$H$14:$H$101,6)</f>
        <v>0</v>
      </c>
      <c r="M24" s="373">
        <f t="shared" si="1"/>
        <v>0</v>
      </c>
      <c r="N24" s="371"/>
    </row>
    <row r="25" spans="1:14">
      <c r="A25" s="366">
        <v>10110102</v>
      </c>
      <c r="B25" s="513" t="s">
        <v>1038</v>
      </c>
      <c r="C25" s="513"/>
      <c r="D25" s="513"/>
      <c r="E25" s="513"/>
      <c r="F25" s="513"/>
      <c r="G25" s="371"/>
      <c r="H25" s="372">
        <f>+SUMIFS('GASTOS MAS INVERSIONES'!$N$14:$N$101,'GASTOS MAS INVERSIONES'!$B$14:$B$101,'Total Presupuesto'!A25,'GASTOS MAS INVERSIONES'!$H$14:$H$101,2)</f>
        <v>0</v>
      </c>
      <c r="I25" s="372">
        <f>+SUMIFS('GASTOS MAS INVERSIONES'!$N$14:$N$101,'GASTOS MAS INVERSIONES'!$B$14:$B$101,'Total Presupuesto'!A25,'GASTOS MAS INVERSIONES'!$H$14:$H$101,7)</f>
        <v>0</v>
      </c>
      <c r="J25" s="371"/>
      <c r="K25" s="373">
        <f t="shared" si="0"/>
        <v>0</v>
      </c>
      <c r="L25" s="372">
        <f>+SUMIFS('GASTOS MAS INVERSIONES'!$N$14:$N$101,'GASTOS MAS INVERSIONES'!$B$14:$B$101,'Total Presupuesto'!A25,'GASTOS MAS INVERSIONES'!$H$14:$H$101,3)+SUMIFS('GASTOS MAS INVERSIONES'!$N$14:$N$101,'GASTOS MAS INVERSIONES'!$B$14:$B$101,'Total Presupuesto'!A25,'GASTOS MAS INVERSIONES'!$H$14:$H$101,4)+SUMIFS('GASTOS MAS INVERSIONES'!$N$14:$N$101,'GASTOS MAS INVERSIONES'!$B$14:$B$101,'Total Presupuesto'!A25,'GASTOS MAS INVERSIONES'!$H$14:$H$101,6)</f>
        <v>0</v>
      </c>
      <c r="M25" s="373">
        <f t="shared" si="1"/>
        <v>0</v>
      </c>
      <c r="N25" s="371"/>
    </row>
    <row r="26" spans="1:14">
      <c r="A26" s="366">
        <v>10110103</v>
      </c>
      <c r="B26" s="513" t="s">
        <v>1039</v>
      </c>
      <c r="C26" s="513"/>
      <c r="D26" s="513"/>
      <c r="E26" s="513"/>
      <c r="F26" s="513"/>
      <c r="G26" s="371"/>
      <c r="H26" s="372">
        <f>+SUMIFS('GASTOS MAS INVERSIONES'!$N$14:$N$101,'GASTOS MAS INVERSIONES'!$B$14:$B$101,'Total Presupuesto'!A26,'GASTOS MAS INVERSIONES'!$H$14:$H$101,2)</f>
        <v>0</v>
      </c>
      <c r="I26" s="372">
        <f>+SUMIFS('GASTOS MAS INVERSIONES'!$N$14:$N$101,'GASTOS MAS INVERSIONES'!$B$14:$B$101,'Total Presupuesto'!A26,'GASTOS MAS INVERSIONES'!$H$14:$H$101,7)</f>
        <v>0</v>
      </c>
      <c r="J26" s="371"/>
      <c r="K26" s="373">
        <f t="shared" si="0"/>
        <v>0</v>
      </c>
      <c r="L26" s="372">
        <f>+SUMIFS('GASTOS MAS INVERSIONES'!$N$14:$N$101,'GASTOS MAS INVERSIONES'!$B$14:$B$101,'Total Presupuesto'!A26,'GASTOS MAS INVERSIONES'!$H$14:$H$101,3)+SUMIFS('GASTOS MAS INVERSIONES'!$N$14:$N$101,'GASTOS MAS INVERSIONES'!$B$14:$B$101,'Total Presupuesto'!A26,'GASTOS MAS INVERSIONES'!$H$14:$H$101,4)+SUMIFS('GASTOS MAS INVERSIONES'!$N$14:$N$101,'GASTOS MAS INVERSIONES'!$B$14:$B$101,'Total Presupuesto'!A26,'GASTOS MAS INVERSIONES'!$H$14:$H$101,6)</f>
        <v>0</v>
      </c>
      <c r="M26" s="373">
        <f t="shared" si="1"/>
        <v>0</v>
      </c>
      <c r="N26" s="371"/>
    </row>
    <row r="27" spans="1:14">
      <c r="A27" s="366">
        <v>10120101</v>
      </c>
      <c r="B27" s="513" t="s">
        <v>1040</v>
      </c>
      <c r="C27" s="513"/>
      <c r="D27" s="513"/>
      <c r="E27" s="513"/>
      <c r="F27" s="513"/>
      <c r="G27" s="371"/>
      <c r="H27" s="372">
        <f>+SUMIFS('GASTOS MAS INVERSIONES'!$N$14:$N$101,'GASTOS MAS INVERSIONES'!$B$14:$B$101,'Total Presupuesto'!A27,'GASTOS MAS INVERSIONES'!$H$14:$H$101,2)</f>
        <v>0</v>
      </c>
      <c r="I27" s="372">
        <f>+SUMIFS('GASTOS MAS INVERSIONES'!$N$14:$N$101,'GASTOS MAS INVERSIONES'!$B$14:$B$101,'Total Presupuesto'!A27,'GASTOS MAS INVERSIONES'!$H$14:$H$101,7)</f>
        <v>0</v>
      </c>
      <c r="J27" s="371"/>
      <c r="K27" s="373">
        <f t="shared" si="0"/>
        <v>0</v>
      </c>
      <c r="L27" s="372">
        <f>+SUMIFS('GASTOS MAS INVERSIONES'!$N$14:$N$101,'GASTOS MAS INVERSIONES'!$B$14:$B$101,'Total Presupuesto'!A27,'GASTOS MAS INVERSIONES'!$H$14:$H$101,3)+SUMIFS('GASTOS MAS INVERSIONES'!$N$14:$N$101,'GASTOS MAS INVERSIONES'!$B$14:$B$101,'Total Presupuesto'!A27,'GASTOS MAS INVERSIONES'!$H$14:$H$101,4)+SUMIFS('GASTOS MAS INVERSIONES'!$N$14:$N$101,'GASTOS MAS INVERSIONES'!$B$14:$B$101,'Total Presupuesto'!A27,'GASTOS MAS INVERSIONES'!$H$14:$H$101,6)</f>
        <v>0</v>
      </c>
      <c r="M27" s="373">
        <f t="shared" si="1"/>
        <v>0</v>
      </c>
      <c r="N27" s="371"/>
    </row>
    <row r="28" spans="1:14">
      <c r="A28" s="366">
        <v>10120102</v>
      </c>
      <c r="B28" s="513" t="s">
        <v>1041</v>
      </c>
      <c r="C28" s="513"/>
      <c r="D28" s="513"/>
      <c r="E28" s="513"/>
      <c r="F28" s="513"/>
      <c r="G28" s="371"/>
      <c r="H28" s="372">
        <f>+SUMIFS('GASTOS MAS INVERSIONES'!$N$14:$N$101,'GASTOS MAS INVERSIONES'!$B$14:$B$101,'Total Presupuesto'!A28,'GASTOS MAS INVERSIONES'!$H$14:$H$101,2)</f>
        <v>0</v>
      </c>
      <c r="I28" s="372">
        <f>+SUMIFS('GASTOS MAS INVERSIONES'!$N$14:$N$101,'GASTOS MAS INVERSIONES'!$B$14:$B$101,'Total Presupuesto'!A28,'GASTOS MAS INVERSIONES'!$H$14:$H$101,7)</f>
        <v>0</v>
      </c>
      <c r="J28" s="371"/>
      <c r="K28" s="373">
        <f t="shared" si="0"/>
        <v>0</v>
      </c>
      <c r="L28" s="372">
        <f>+SUMIFS('GASTOS MAS INVERSIONES'!$N$14:$N$101,'GASTOS MAS INVERSIONES'!$B$14:$B$101,'Total Presupuesto'!A28,'GASTOS MAS INVERSIONES'!$H$14:$H$101,3)+SUMIFS('GASTOS MAS INVERSIONES'!$N$14:$N$101,'GASTOS MAS INVERSIONES'!$B$14:$B$101,'Total Presupuesto'!A28,'GASTOS MAS INVERSIONES'!$H$14:$H$101,4)+SUMIFS('GASTOS MAS INVERSIONES'!$N$14:$N$101,'GASTOS MAS INVERSIONES'!$B$14:$B$101,'Total Presupuesto'!A28,'GASTOS MAS INVERSIONES'!$H$14:$H$101,6)</f>
        <v>0</v>
      </c>
      <c r="M28" s="373">
        <f t="shared" si="1"/>
        <v>0</v>
      </c>
      <c r="N28" s="371"/>
    </row>
    <row r="29" spans="1:14">
      <c r="A29" s="366">
        <v>10130101</v>
      </c>
      <c r="B29" s="513" t="s">
        <v>1042</v>
      </c>
      <c r="C29" s="513"/>
      <c r="D29" s="513"/>
      <c r="E29" s="513"/>
      <c r="F29" s="513"/>
      <c r="G29" s="371"/>
      <c r="H29" s="372">
        <f>+SUMIFS('GASTOS MAS INVERSIONES'!$N$14:$N$101,'GASTOS MAS INVERSIONES'!$B$14:$B$101,'Total Presupuesto'!A29,'GASTOS MAS INVERSIONES'!$H$14:$H$101,2)</f>
        <v>0</v>
      </c>
      <c r="I29" s="372">
        <f>+SUMIFS('GASTOS MAS INVERSIONES'!$N$14:$N$101,'GASTOS MAS INVERSIONES'!$B$14:$B$101,'Total Presupuesto'!A29,'GASTOS MAS INVERSIONES'!$H$14:$H$101,7)</f>
        <v>0</v>
      </c>
      <c r="J29" s="371"/>
      <c r="K29" s="373">
        <f t="shared" si="0"/>
        <v>0</v>
      </c>
      <c r="L29" s="372">
        <f>+SUMIFS('GASTOS MAS INVERSIONES'!$N$14:$N$101,'GASTOS MAS INVERSIONES'!$B$14:$B$101,'Total Presupuesto'!A29,'GASTOS MAS INVERSIONES'!$H$14:$H$101,3)+SUMIFS('GASTOS MAS INVERSIONES'!$N$14:$N$101,'GASTOS MAS INVERSIONES'!$B$14:$B$101,'Total Presupuesto'!A29,'GASTOS MAS INVERSIONES'!$H$14:$H$101,4)+SUMIFS('GASTOS MAS INVERSIONES'!$N$14:$N$101,'GASTOS MAS INVERSIONES'!$B$14:$B$101,'Total Presupuesto'!A29,'GASTOS MAS INVERSIONES'!$H$14:$H$101,6)</f>
        <v>0</v>
      </c>
      <c r="M29" s="373">
        <f t="shared" si="1"/>
        <v>0</v>
      </c>
      <c r="N29" s="371"/>
    </row>
    <row r="30" spans="1:14">
      <c r="A30" s="366">
        <v>10130102</v>
      </c>
      <c r="B30" s="513" t="s">
        <v>1043</v>
      </c>
      <c r="C30" s="513"/>
      <c r="D30" s="513"/>
      <c r="E30" s="513"/>
      <c r="F30" s="513"/>
      <c r="G30" s="371"/>
      <c r="H30" s="372">
        <f>+SUMIFS('GASTOS MAS INVERSIONES'!$N$14:$N$101,'GASTOS MAS INVERSIONES'!$B$14:$B$101,'Total Presupuesto'!A30,'GASTOS MAS INVERSIONES'!$H$14:$H$101,2)</f>
        <v>0</v>
      </c>
      <c r="I30" s="372">
        <f>+SUMIFS('GASTOS MAS INVERSIONES'!$N$14:$N$101,'GASTOS MAS INVERSIONES'!$B$14:$B$101,'Total Presupuesto'!A30,'GASTOS MAS INVERSIONES'!$H$14:$H$101,7)</f>
        <v>0</v>
      </c>
      <c r="J30" s="371"/>
      <c r="K30" s="373">
        <f t="shared" si="0"/>
        <v>0</v>
      </c>
      <c r="L30" s="372">
        <f>+SUMIFS('GASTOS MAS INVERSIONES'!$N$14:$N$101,'GASTOS MAS INVERSIONES'!$B$14:$B$101,'Total Presupuesto'!A30,'GASTOS MAS INVERSIONES'!$H$14:$H$101,3)+SUMIFS('GASTOS MAS INVERSIONES'!$N$14:$N$101,'GASTOS MAS INVERSIONES'!$B$14:$B$101,'Total Presupuesto'!A30,'GASTOS MAS INVERSIONES'!$H$14:$H$101,4)+SUMIFS('GASTOS MAS INVERSIONES'!$N$14:$N$101,'GASTOS MAS INVERSIONES'!$B$14:$B$101,'Total Presupuesto'!A30,'GASTOS MAS INVERSIONES'!$H$14:$H$101,6)</f>
        <v>0</v>
      </c>
      <c r="M30" s="373">
        <f t="shared" si="1"/>
        <v>0</v>
      </c>
      <c r="N30" s="371"/>
    </row>
    <row r="31" spans="1:14">
      <c r="A31" s="366">
        <v>10140101</v>
      </c>
      <c r="B31" s="513" t="s">
        <v>1044</v>
      </c>
      <c r="C31" s="513"/>
      <c r="D31" s="513"/>
      <c r="E31" s="513"/>
      <c r="F31" s="513"/>
      <c r="G31" s="371"/>
      <c r="H31" s="372">
        <f>+SUMIFS('GASTOS MAS INVERSIONES'!$N$14:$N$101,'GASTOS MAS INVERSIONES'!$B$14:$B$101,'Total Presupuesto'!A31,'GASTOS MAS INVERSIONES'!$H$14:$H$101,2)</f>
        <v>0</v>
      </c>
      <c r="I31" s="372">
        <f>+SUMIFS('GASTOS MAS INVERSIONES'!$N$14:$N$101,'GASTOS MAS INVERSIONES'!$B$14:$B$101,'Total Presupuesto'!A31,'GASTOS MAS INVERSIONES'!$H$14:$H$101,7)</f>
        <v>0</v>
      </c>
      <c r="J31" s="371"/>
      <c r="K31" s="373">
        <f t="shared" si="0"/>
        <v>0</v>
      </c>
      <c r="L31" s="372">
        <f>+SUMIFS('GASTOS MAS INVERSIONES'!$N$14:$N$101,'GASTOS MAS INVERSIONES'!$B$14:$B$101,'Total Presupuesto'!A31,'GASTOS MAS INVERSIONES'!$H$14:$H$101,3)+SUMIFS('GASTOS MAS INVERSIONES'!$N$14:$N$101,'GASTOS MAS INVERSIONES'!$B$14:$B$101,'Total Presupuesto'!A31,'GASTOS MAS INVERSIONES'!$H$14:$H$101,4)+SUMIFS('GASTOS MAS INVERSIONES'!$N$14:$N$101,'GASTOS MAS INVERSIONES'!$B$14:$B$101,'Total Presupuesto'!A31,'GASTOS MAS INVERSIONES'!$H$14:$H$101,6)</f>
        <v>0</v>
      </c>
      <c r="M31" s="373">
        <f t="shared" si="1"/>
        <v>0</v>
      </c>
      <c r="N31" s="371"/>
    </row>
    <row r="32" spans="1:14">
      <c r="A32" s="367" t="s">
        <v>148</v>
      </c>
      <c r="B32" s="513" t="s">
        <v>1045</v>
      </c>
      <c r="C32" s="513"/>
      <c r="D32" s="513"/>
      <c r="E32" s="513"/>
      <c r="F32" s="513"/>
      <c r="G32" s="371"/>
      <c r="H32" s="372">
        <f>+SUMIFS('GASTOS MAS INVERSIONES'!$N$14:$N$101,'GASTOS MAS INVERSIONES'!$B$14:$B$101,'Total Presupuesto'!A32,'GASTOS MAS INVERSIONES'!$H$14:$H$101,2)</f>
        <v>0</v>
      </c>
      <c r="I32" s="372">
        <f>+SUMIFS('GASTOS MAS INVERSIONES'!$N$14:$N$101,'GASTOS MAS INVERSIONES'!$B$14:$B$101,'Total Presupuesto'!A32,'GASTOS MAS INVERSIONES'!$H$14:$H$101,7)</f>
        <v>0</v>
      </c>
      <c r="J32" s="371"/>
      <c r="K32" s="373">
        <f t="shared" si="0"/>
        <v>0</v>
      </c>
      <c r="L32" s="372">
        <f>+SUMIFS('GASTOS MAS INVERSIONES'!$N$14:$N$101,'GASTOS MAS INVERSIONES'!$B$14:$B$101,'Total Presupuesto'!A32,'GASTOS MAS INVERSIONES'!$H$14:$H$101,3)+SUMIFS('GASTOS MAS INVERSIONES'!$N$14:$N$101,'GASTOS MAS INVERSIONES'!$B$14:$B$101,'Total Presupuesto'!A32,'GASTOS MAS INVERSIONES'!$H$14:$H$101,4)+SUMIFS('GASTOS MAS INVERSIONES'!$N$14:$N$101,'GASTOS MAS INVERSIONES'!$B$14:$B$101,'Total Presupuesto'!A32,'GASTOS MAS INVERSIONES'!$H$14:$H$101,6)</f>
        <v>0</v>
      </c>
      <c r="M32" s="373">
        <f t="shared" si="1"/>
        <v>0</v>
      </c>
      <c r="N32" s="371"/>
    </row>
    <row r="33" spans="1:14">
      <c r="A33" s="368" t="s">
        <v>149</v>
      </c>
      <c r="B33" s="513" t="s">
        <v>1046</v>
      </c>
      <c r="C33" s="513"/>
      <c r="D33" s="513"/>
      <c r="E33" s="513"/>
      <c r="F33" s="513"/>
      <c r="G33" s="371"/>
      <c r="H33" s="372">
        <f>+SUMIFS('GASTOS MAS INVERSIONES'!$N$14:$N$101,'GASTOS MAS INVERSIONES'!$B$14:$B$101,'Total Presupuesto'!A33,'GASTOS MAS INVERSIONES'!$H$14:$H$101,2)</f>
        <v>0</v>
      </c>
      <c r="I33" s="372">
        <f>+SUMIFS('GASTOS MAS INVERSIONES'!$N$14:$N$101,'GASTOS MAS INVERSIONES'!$B$14:$B$101,'Total Presupuesto'!A33,'GASTOS MAS INVERSIONES'!$H$14:$H$101,7)</f>
        <v>0</v>
      </c>
      <c r="J33" s="371"/>
      <c r="K33" s="373">
        <f t="shared" si="0"/>
        <v>0</v>
      </c>
      <c r="L33" s="372">
        <f>+SUMIFS('GASTOS MAS INVERSIONES'!$N$14:$N$101,'GASTOS MAS INVERSIONES'!$B$14:$B$101,'Total Presupuesto'!A33,'GASTOS MAS INVERSIONES'!$H$14:$H$101,3)+SUMIFS('GASTOS MAS INVERSIONES'!$N$14:$N$101,'GASTOS MAS INVERSIONES'!$B$14:$B$101,'Total Presupuesto'!A33,'GASTOS MAS INVERSIONES'!$H$14:$H$101,4)+SUMIFS('GASTOS MAS INVERSIONES'!$N$14:$N$101,'GASTOS MAS INVERSIONES'!$B$14:$B$101,'Total Presupuesto'!A33,'GASTOS MAS INVERSIONES'!$H$14:$H$101,6)</f>
        <v>0</v>
      </c>
      <c r="M33" s="373">
        <f t="shared" si="1"/>
        <v>0</v>
      </c>
      <c r="N33" s="371"/>
    </row>
    <row r="34" spans="1:14">
      <c r="A34" s="368" t="s">
        <v>163</v>
      </c>
      <c r="B34" s="513" t="s">
        <v>1047</v>
      </c>
      <c r="C34" s="513"/>
      <c r="D34" s="513"/>
      <c r="E34" s="513"/>
      <c r="F34" s="513"/>
      <c r="G34" s="371"/>
      <c r="H34" s="372"/>
      <c r="I34" s="371"/>
      <c r="J34" s="371"/>
      <c r="K34" s="371"/>
      <c r="L34" s="371"/>
      <c r="M34" s="371"/>
      <c r="N34" s="371"/>
    </row>
    <row r="35" spans="1:14">
      <c r="A35" s="368" t="s">
        <v>164</v>
      </c>
      <c r="B35" s="513" t="s">
        <v>1048</v>
      </c>
      <c r="C35" s="513"/>
      <c r="D35" s="513"/>
      <c r="E35" s="513"/>
      <c r="F35" s="513"/>
      <c r="G35" s="371"/>
      <c r="H35" s="372"/>
      <c r="I35" s="371"/>
      <c r="J35" s="371"/>
      <c r="K35" s="371"/>
      <c r="L35" s="371"/>
      <c r="M35" s="371"/>
      <c r="N35" s="371"/>
    </row>
    <row r="36" spans="1:14">
      <c r="A36" s="368" t="s">
        <v>1049</v>
      </c>
      <c r="B36" s="513" t="s">
        <v>1050</v>
      </c>
      <c r="C36" s="513"/>
      <c r="D36" s="513"/>
      <c r="E36" s="513"/>
      <c r="F36" s="513"/>
      <c r="G36" s="371"/>
      <c r="H36" s="372"/>
      <c r="I36" s="371"/>
      <c r="J36" s="371"/>
      <c r="K36" s="371"/>
      <c r="L36" s="371"/>
      <c r="M36" s="371"/>
      <c r="N36" s="371"/>
    </row>
    <row r="37" spans="1:14">
      <c r="A37" s="368" t="s">
        <v>1051</v>
      </c>
      <c r="B37" s="513" t="s">
        <v>1052</v>
      </c>
      <c r="C37" s="513"/>
      <c r="D37" s="513"/>
      <c r="E37" s="513"/>
      <c r="F37" s="513"/>
      <c r="G37" s="371"/>
      <c r="H37" s="372"/>
      <c r="I37" s="371"/>
      <c r="J37" s="371"/>
      <c r="K37" s="371"/>
      <c r="L37" s="371"/>
      <c r="M37" s="371"/>
      <c r="N37" s="371"/>
    </row>
    <row r="38" spans="1:14">
      <c r="A38" s="368" t="s">
        <v>1053</v>
      </c>
      <c r="B38" s="513" t="s">
        <v>1054</v>
      </c>
      <c r="C38" s="513"/>
      <c r="D38" s="513"/>
      <c r="E38" s="513"/>
      <c r="F38" s="513"/>
      <c r="G38" s="371"/>
      <c r="H38" s="372"/>
      <c r="I38" s="371"/>
      <c r="J38" s="371"/>
      <c r="K38" s="371"/>
      <c r="L38" s="371"/>
      <c r="M38" s="371"/>
      <c r="N38" s="371"/>
    </row>
    <row r="39" spans="1:14">
      <c r="A39" s="368" t="s">
        <v>1055</v>
      </c>
      <c r="B39" s="513" t="s">
        <v>1056</v>
      </c>
      <c r="C39" s="513"/>
      <c r="D39" s="513"/>
      <c r="E39" s="513"/>
      <c r="F39" s="513"/>
      <c r="G39" s="371"/>
      <c r="H39" s="372"/>
      <c r="I39" s="371"/>
      <c r="J39" s="371"/>
      <c r="K39" s="371"/>
      <c r="L39" s="371"/>
      <c r="M39" s="371"/>
      <c r="N39" s="371"/>
    </row>
    <row r="41" spans="1:14">
      <c r="A41" s="517" t="s">
        <v>1057</v>
      </c>
      <c r="B41" s="517"/>
      <c r="C41" s="517"/>
      <c r="D41" s="517"/>
      <c r="E41" s="517"/>
      <c r="F41" s="517"/>
      <c r="G41" s="372">
        <f>+SUM(G4:G39)</f>
        <v>0</v>
      </c>
      <c r="H41" s="372">
        <f t="shared" ref="H41:M41" si="2">+SUM(H4:H39)</f>
        <v>274590000</v>
      </c>
      <c r="I41" s="372">
        <f t="shared" si="2"/>
        <v>0</v>
      </c>
      <c r="J41" s="372">
        <f t="shared" si="2"/>
        <v>0</v>
      </c>
      <c r="K41" s="372">
        <f t="shared" si="2"/>
        <v>274590000</v>
      </c>
      <c r="L41" s="372">
        <f t="shared" si="2"/>
        <v>44500000</v>
      </c>
      <c r="M41" s="372">
        <f t="shared" si="2"/>
        <v>319090000</v>
      </c>
      <c r="N41" s="371"/>
    </row>
    <row r="43" spans="1:14" ht="30">
      <c r="F43" s="374"/>
      <c r="G43" s="374"/>
      <c r="H43" s="375" t="s">
        <v>1058</v>
      </c>
      <c r="I43" s="376"/>
      <c r="J43" s="376"/>
      <c r="K43" s="376"/>
      <c r="L43" s="375" t="s">
        <v>1059</v>
      </c>
    </row>
    <row r="44" spans="1:14">
      <c r="A44" t="s">
        <v>622</v>
      </c>
      <c r="E44" s="377">
        <v>0.14000000000000001</v>
      </c>
      <c r="F44" s="374">
        <f>+$G$41*E44</f>
        <v>0</v>
      </c>
      <c r="G44" s="374"/>
      <c r="H44" s="378">
        <f>+F44+F45</f>
        <v>0</v>
      </c>
      <c r="J44" s="374"/>
      <c r="K44" s="374"/>
      <c r="L44" s="378">
        <f>+H44-M41</f>
        <v>-319090000</v>
      </c>
    </row>
    <row r="45" spans="1:14">
      <c r="A45" t="s">
        <v>1060</v>
      </c>
      <c r="E45" s="377">
        <v>0.02</v>
      </c>
      <c r="F45" s="374">
        <f t="shared" ref="F45:F49" si="3">+$G$41*E45</f>
        <v>0</v>
      </c>
      <c r="G45" s="379">
        <f>+L14+L15</f>
        <v>0</v>
      </c>
      <c r="H45" s="374"/>
      <c r="I45" s="374"/>
      <c r="J45" s="374"/>
      <c r="K45" s="374"/>
      <c r="L45" s="374"/>
    </row>
    <row r="46" spans="1:14">
      <c r="A46" t="s">
        <v>1061</v>
      </c>
      <c r="E46" s="377">
        <v>0.1</v>
      </c>
      <c r="F46" s="374">
        <f t="shared" si="3"/>
        <v>0</v>
      </c>
      <c r="G46" s="374"/>
      <c r="H46" s="374"/>
      <c r="I46" s="374"/>
      <c r="J46" s="374"/>
      <c r="K46" s="374"/>
      <c r="L46" s="374"/>
    </row>
    <row r="47" spans="1:14">
      <c r="A47" t="s">
        <v>1062</v>
      </c>
      <c r="E47" s="377">
        <v>0.62</v>
      </c>
      <c r="F47" s="374">
        <f t="shared" si="3"/>
        <v>0</v>
      </c>
      <c r="G47" s="374"/>
      <c r="H47" s="374"/>
      <c r="I47" s="374"/>
      <c r="J47" s="374"/>
      <c r="K47" s="374"/>
      <c r="L47" s="374"/>
    </row>
    <row r="48" spans="1:14">
      <c r="A48" t="s">
        <v>1063</v>
      </c>
      <c r="E48" s="377">
        <v>0.02</v>
      </c>
      <c r="F48" s="374">
        <f t="shared" si="3"/>
        <v>0</v>
      </c>
      <c r="G48" s="374"/>
      <c r="H48" s="374"/>
      <c r="I48" s="374"/>
      <c r="J48" s="374"/>
      <c r="K48" s="374"/>
      <c r="L48" s="374"/>
    </row>
    <row r="49" spans="1:12">
      <c r="A49" t="s">
        <v>1064</v>
      </c>
      <c r="E49" s="377">
        <v>0.1</v>
      </c>
      <c r="F49" s="374">
        <f t="shared" si="3"/>
        <v>0</v>
      </c>
      <c r="G49" s="374"/>
      <c r="H49" s="374"/>
      <c r="I49" s="374"/>
      <c r="J49" s="374"/>
      <c r="K49" s="374"/>
      <c r="L49" s="374"/>
    </row>
    <row r="50" spans="1:12">
      <c r="E50" s="377">
        <f>SUM(E44:E49)</f>
        <v>1</v>
      </c>
      <c r="F50" s="374"/>
      <c r="G50" s="374"/>
      <c r="H50" s="374"/>
      <c r="I50" s="374"/>
      <c r="J50" s="374"/>
      <c r="K50" s="374"/>
      <c r="L50" s="374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6" t="s">
        <v>432</v>
      </c>
      <c r="C1" s="286"/>
      <c r="D1" s="290"/>
      <c r="E1" s="290"/>
      <c r="F1" s="290"/>
    </row>
    <row r="2" spans="2:6">
      <c r="B2" s="286" t="s">
        <v>433</v>
      </c>
      <c r="C2" s="286"/>
      <c r="D2" s="290"/>
      <c r="E2" s="290"/>
      <c r="F2" s="290"/>
    </row>
    <row r="3" spans="2:6">
      <c r="B3" s="287"/>
      <c r="C3" s="287"/>
      <c r="D3" s="291"/>
      <c r="E3" s="291"/>
      <c r="F3" s="291"/>
    </row>
    <row r="4" spans="2:6" ht="45">
      <c r="B4" s="287" t="s">
        <v>434</v>
      </c>
      <c r="C4" s="287"/>
      <c r="D4" s="291"/>
      <c r="E4" s="291"/>
      <c r="F4" s="291"/>
    </row>
    <row r="5" spans="2:6">
      <c r="B5" s="287"/>
      <c r="C5" s="287"/>
      <c r="D5" s="291"/>
      <c r="E5" s="291"/>
      <c r="F5" s="291"/>
    </row>
    <row r="6" spans="2:6" ht="30">
      <c r="B6" s="286" t="s">
        <v>435</v>
      </c>
      <c r="C6" s="286"/>
      <c r="D6" s="290"/>
      <c r="E6" s="290" t="s">
        <v>436</v>
      </c>
      <c r="F6" s="290" t="s">
        <v>437</v>
      </c>
    </row>
    <row r="7" spans="2:6" ht="15.75" thickBot="1">
      <c r="B7" s="287"/>
      <c r="C7" s="287"/>
      <c r="D7" s="291"/>
      <c r="E7" s="291"/>
      <c r="F7" s="291"/>
    </row>
    <row r="8" spans="2:6" ht="75.75" thickBot="1">
      <c r="B8" s="288" t="s">
        <v>438</v>
      </c>
      <c r="C8" s="289"/>
      <c r="D8" s="292"/>
      <c r="E8" s="292" t="s">
        <v>440</v>
      </c>
      <c r="F8" s="293" t="s">
        <v>439</v>
      </c>
    </row>
    <row r="9" spans="2:6" ht="15.75" thickBot="1">
      <c r="B9" s="287"/>
      <c r="C9" s="287"/>
      <c r="D9" s="291"/>
      <c r="E9" s="291"/>
      <c r="F9" s="291"/>
    </row>
    <row r="10" spans="2:6" ht="45.75" thickBot="1">
      <c r="B10" s="288" t="s">
        <v>441</v>
      </c>
      <c r="C10" s="289"/>
      <c r="D10" s="292"/>
      <c r="E10" s="292">
        <v>91</v>
      </c>
      <c r="F10" s="293" t="s">
        <v>439</v>
      </c>
    </row>
    <row r="11" spans="2:6">
      <c r="B11" s="287"/>
      <c r="C11" s="287"/>
      <c r="D11" s="291"/>
      <c r="E11" s="291"/>
      <c r="F11" s="291"/>
    </row>
    <row r="12" spans="2:6">
      <c r="B12" s="287"/>
      <c r="C12" s="287"/>
      <c r="D12" s="291"/>
      <c r="E12" s="291"/>
      <c r="F12" s="29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9</vt:i4>
      </vt:variant>
    </vt:vector>
  </HeadingPairs>
  <TitlesOfParts>
    <vt:vector size="16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2020-01-23T22:49:18Z</dcterms:modified>
</cp:coreProperties>
</file>