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5 Ingenierias\"/>
    </mc:Choice>
  </mc:AlternateContent>
  <xr:revisionPtr revIDLastSave="32" documentId="13_ncr:1_{F7874492-FA68-47B9-A6D5-F9419E2C15B4}" xr6:coauthVersionLast="45" xr6:coauthVersionMax="45" xr10:uidLastSave="{F2490D5F-E2AC-4512-99B3-026F1AD37753}"/>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5" l="1"/>
  <c r="N368" i="7" l="1"/>
  <c r="N380" i="7"/>
  <c r="N377" i="7"/>
  <c r="N375" i="7"/>
  <c r="N372" i="7"/>
  <c r="N136" i="7" l="1"/>
  <c r="N135" i="7"/>
  <c r="N182" i="7" l="1"/>
  <c r="N183" i="7"/>
  <c r="N181" i="7"/>
  <c r="N179" i="7"/>
  <c r="N178" i="7"/>
  <c r="N177" i="7"/>
  <c r="N175" i="7" l="1"/>
  <c r="N174" i="7"/>
  <c r="N173" i="7"/>
  <c r="N172" i="7"/>
  <c r="N170" i="7"/>
  <c r="N169" i="7"/>
  <c r="N168" i="7"/>
  <c r="N167" i="7"/>
  <c r="N379" i="7"/>
  <c r="N374" i="7"/>
  <c r="N378" i="7"/>
  <c r="N373" i="7"/>
  <c r="F88" i="4" l="1"/>
  <c r="F89" i="4"/>
  <c r="F90" i="4"/>
  <c r="F91" i="4"/>
  <c r="F92" i="4"/>
  <c r="F93" i="4"/>
  <c r="F94" i="4"/>
  <c r="F95" i="4"/>
  <c r="F96" i="4"/>
  <c r="F97" i="4"/>
  <c r="F98" i="4"/>
  <c r="F99" i="4"/>
  <c r="F100" i="4"/>
  <c r="F101" i="4"/>
  <c r="F102" i="4"/>
  <c r="F103" i="4"/>
  <c r="F104" i="4"/>
  <c r="F87" i="4"/>
  <c r="D16" i="4" l="1"/>
  <c r="C27" i="4"/>
  <c r="D24" i="4"/>
  <c r="D22" i="4"/>
  <c r="D20" i="4"/>
  <c r="D18" i="4"/>
  <c r="D25" i="4"/>
  <c r="D23" i="4"/>
  <c r="D21" i="4"/>
  <c r="D19" i="4"/>
  <c r="D17" i="4"/>
  <c r="G16" i="4"/>
  <c r="B27" i="4"/>
  <c r="D27" i="4" l="1"/>
  <c r="E25" i="4"/>
  <c r="E24" i="4"/>
  <c r="E23" i="4"/>
  <c r="E22" i="4"/>
  <c r="F23" i="4" s="1"/>
  <c r="E21" i="4"/>
  <c r="E20" i="4"/>
  <c r="F21" i="4" s="1"/>
  <c r="E19" i="4"/>
  <c r="E18" i="4"/>
  <c r="F17" i="4"/>
  <c r="E17" i="4"/>
  <c r="F22" i="4" l="1"/>
  <c r="G21" i="4"/>
  <c r="F18" i="4"/>
  <c r="G18" i="4" s="1"/>
  <c r="E27" i="4"/>
  <c r="G17" i="4"/>
  <c r="F24" i="4"/>
  <c r="G24" i="4" s="1"/>
  <c r="G23" i="4"/>
  <c r="F19" i="4"/>
  <c r="F25" i="4"/>
  <c r="F20" i="4"/>
  <c r="G22" i="4" l="1"/>
  <c r="G20" i="4"/>
  <c r="G25" i="4"/>
  <c r="G19" i="4"/>
  <c r="F27" i="4"/>
  <c r="G27" i="4" l="1"/>
  <c r="K17" i="4"/>
  <c r="K16" i="4"/>
  <c r="G28" i="4" l="1"/>
  <c r="N90" i="7"/>
  <c r="J16" i="4"/>
  <c r="L16" i="4" s="1"/>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L10" i="12" l="1"/>
  <c r="I10" i="12"/>
  <c r="H16" i="12"/>
  <c r="L18" i="12"/>
  <c r="L22" i="12"/>
  <c r="L26" i="12"/>
  <c r="L30" i="12"/>
  <c r="L34" i="12"/>
  <c r="L9" i="12"/>
  <c r="I7" i="12"/>
  <c r="I13" i="12"/>
  <c r="I18" i="12"/>
  <c r="I22" i="12"/>
  <c r="I26" i="12"/>
  <c r="I30" i="12"/>
  <c r="I34" i="12"/>
  <c r="H9"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34" i="12" l="1"/>
  <c r="M34" i="12" s="1"/>
  <c r="K13" i="12"/>
  <c r="M13"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6" i="12"/>
  <c r="M16" i="12" s="1"/>
  <c r="K8" i="12"/>
  <c r="M8" i="12" s="1"/>
  <c r="F18" i="5"/>
  <c r="E12" i="5" l="1"/>
  <c r="J10" i="4" s="1"/>
  <c r="I9" i="7" s="1"/>
  <c r="L49" i="4" l="1"/>
  <c r="K49" i="4"/>
  <c r="J49" i="4"/>
  <c r="I49" i="4"/>
  <c r="H49" i="4"/>
  <c r="G49" i="4"/>
  <c r="F49" i="4"/>
  <c r="E49" i="4"/>
  <c r="D49" i="4"/>
  <c r="C49" i="4"/>
  <c r="B49" i="4"/>
  <c r="E113" i="4"/>
  <c r="G432" i="7" s="1"/>
  <c r="E114" i="4"/>
  <c r="G433" i="7" s="1"/>
  <c r="E112" i="4"/>
  <c r="G431" i="7" s="1"/>
  <c r="A113" i="4"/>
  <c r="B432" i="7" s="1"/>
  <c r="A114" i="4"/>
  <c r="B433" i="7" s="1"/>
  <c r="A112" i="4"/>
  <c r="B431" i="7" s="1"/>
  <c r="B48" i="5"/>
  <c r="F106" i="4"/>
  <c r="F25" i="5" s="1"/>
  <c r="L106" i="4"/>
  <c r="F26" i="5" s="1"/>
  <c r="H22" i="12" l="1"/>
  <c r="K22" i="12" l="1"/>
  <c r="M22" i="12" l="1"/>
  <c r="J25" i="4" l="1"/>
  <c r="J24" i="4"/>
  <c r="J23" i="4"/>
  <c r="J22" i="4"/>
  <c r="J21" i="4"/>
  <c r="J20" i="4"/>
  <c r="J19" i="4"/>
  <c r="J18" i="4"/>
  <c r="J17" i="4" l="1"/>
  <c r="L17" i="4" s="1"/>
  <c r="K19" i="4"/>
  <c r="L19" i="4" s="1"/>
  <c r="K23" i="4"/>
  <c r="L23" i="4" s="1"/>
  <c r="K25" i="4"/>
  <c r="L25" i="4" s="1"/>
  <c r="K18" i="4"/>
  <c r="L18" i="4" s="1"/>
  <c r="K22" i="4"/>
  <c r="L22" i="4" s="1"/>
  <c r="K24" i="4"/>
  <c r="L24" i="4" s="1"/>
  <c r="K20" i="4" l="1"/>
  <c r="L20" i="4" s="1"/>
  <c r="K21" i="4"/>
  <c r="L21" i="4" s="1"/>
  <c r="L27" i="4" l="1"/>
  <c r="F17" i="5" s="1"/>
  <c r="D59" i="4"/>
  <c r="E59" i="4" s="1"/>
  <c r="L59" i="4" s="1"/>
  <c r="D60" i="4"/>
  <c r="E60" i="4" s="1"/>
  <c r="L60" i="4" s="1"/>
  <c r="D61" i="4"/>
  <c r="E61" i="4" s="1"/>
  <c r="L61" i="4" s="1"/>
  <c r="D57" i="4"/>
  <c r="E57" i="4" s="1"/>
  <c r="L57" i="4" s="1"/>
  <c r="D63" i="4"/>
  <c r="E63" i="4" s="1"/>
  <c r="L63" i="4" s="1"/>
  <c r="D62" i="4"/>
  <c r="E62" i="4" s="1"/>
  <c r="L62" i="4" s="1"/>
  <c r="D65" i="4"/>
  <c r="E65" i="4" s="1"/>
  <c r="L65" i="4" s="1"/>
  <c r="D58" i="4"/>
  <c r="E58" i="4" s="1"/>
  <c r="L58" i="4" s="1"/>
  <c r="D66" i="4"/>
  <c r="E66" i="4" s="1"/>
  <c r="L66" i="4" s="1"/>
  <c r="D64" i="4"/>
  <c r="E64" i="4" s="1"/>
  <c r="L64" i="4" s="1"/>
  <c r="D56" i="4"/>
  <c r="L29" i="4" l="1"/>
  <c r="G77" i="4"/>
  <c r="H77" i="4" s="1"/>
  <c r="L77" i="4" s="1"/>
  <c r="G76" i="4"/>
  <c r="H76" i="4" s="1"/>
  <c r="L76" i="4" s="1"/>
  <c r="G74" i="4"/>
  <c r="H74" i="4" s="1"/>
  <c r="L74" i="4" s="1"/>
  <c r="G78" i="4"/>
  <c r="H78" i="4" s="1"/>
  <c r="L78" i="4" s="1"/>
  <c r="G69" i="4"/>
  <c r="H69" i="4" s="1"/>
  <c r="L69" i="4" s="1"/>
  <c r="G68" i="4"/>
  <c r="H68" i="4" s="1"/>
  <c r="L68" i="4" s="1"/>
  <c r="G73" i="4"/>
  <c r="H73" i="4" s="1"/>
  <c r="L73" i="4" s="1"/>
  <c r="G71" i="4"/>
  <c r="H71" i="4" s="1"/>
  <c r="L71" i="4" s="1"/>
  <c r="E56" i="4"/>
  <c r="L56" i="4" s="1"/>
  <c r="L67" i="4" s="1"/>
  <c r="G72" i="4"/>
  <c r="H72" i="4" s="1"/>
  <c r="L72" i="4" s="1"/>
  <c r="G70" i="4"/>
  <c r="H70" i="4" s="1"/>
  <c r="L70" i="4" s="1"/>
  <c r="G75" i="4"/>
  <c r="H75" i="4" s="1"/>
  <c r="L75" i="4" s="1"/>
  <c r="F22" i="5" l="1"/>
  <c r="L79" i="4"/>
  <c r="F23" i="5" s="1"/>
  <c r="F27" i="5" l="1"/>
  <c r="L81" i="4"/>
  <c r="L108" i="4" s="1"/>
  <c r="G35" i="12" s="1"/>
  <c r="G42" i="12" s="1"/>
  <c r="N402" i="7" l="1"/>
  <c r="N401" i="7"/>
  <c r="F48" i="12"/>
  <c r="F47" i="12"/>
  <c r="F49" i="12"/>
  <c r="F50" i="12"/>
  <c r="N400" i="7"/>
  <c r="F45" i="12"/>
  <c r="F46" i="12"/>
  <c r="F30" i="5"/>
  <c r="G27" i="5"/>
  <c r="H45" i="12" l="1"/>
  <c r="H10" i="12" l="1"/>
  <c r="K10" i="12" s="1"/>
  <c r="M10" i="12" s="1"/>
  <c r="H15" i="12"/>
  <c r="K15" i="12" s="1"/>
  <c r="M15" i="12" s="1"/>
  <c r="G46" i="12" l="1"/>
  <c r="F31" i="5"/>
  <c r="H14" i="12"/>
  <c r="K14" i="12" s="1"/>
  <c r="H5" i="12" l="1"/>
  <c r="H32" i="12"/>
  <c r="K32" i="12" s="1"/>
  <c r="M32" i="12" s="1"/>
  <c r="L14" i="12"/>
  <c r="M14" i="12" s="1"/>
  <c r="L5" i="12"/>
  <c r="K5" i="12" l="1"/>
  <c r="M5" i="12" l="1"/>
  <c r="H33" i="12" l="1"/>
  <c r="L31" i="12"/>
  <c r="N427" i="7"/>
  <c r="M31" i="12" l="1"/>
  <c r="L42" i="12"/>
  <c r="F32" i="5"/>
  <c r="F33" i="5" s="1"/>
  <c r="F35" i="5" s="1"/>
  <c r="K33" i="12"/>
  <c r="H42" i="12"/>
  <c r="M33" i="12" l="1"/>
  <c r="M42" i="12" s="1"/>
  <c r="L45" i="12" s="1"/>
  <c r="K42" i="12"/>
</calcChain>
</file>

<file path=xl/sharedStrings.xml><?xml version="1.0" encoding="utf-8"?>
<sst xmlns="http://schemas.openxmlformats.org/spreadsheetml/2006/main" count="3717" uniqueCount="1375">
  <si>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</si>
  <si>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</si>
  <si>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</si>
  <si>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</si>
  <si>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</si>
  <si>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</si>
  <si>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</si>
  <si>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</si>
  <si>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</si>
  <si>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</si>
  <si>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</si>
  <si>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</si>
  <si>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</si>
  <si>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</si>
  <si>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</si>
  <si>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</si>
  <si>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</si>
  <si>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</si>
  <si>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</si>
  <si>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</si>
  <si>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</si>
  <si>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</si>
  <si>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</si>
  <si>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</si>
  <si>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</si>
  <si>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</si>
  <si>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</si>
  <si>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</si>
  <si>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</si>
  <si>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</si>
  <si>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</si>
  <si>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</si>
  <si>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</si>
  <si>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</si>
  <si>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</si>
  <si>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</si>
  <si>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</si>
  <si>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</si>
  <si>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</si>
  <si>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</si>
  <si>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</si>
  <si>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</si>
  <si>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</si>
  <si>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</si>
  <si>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</si>
  <si>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</si>
  <si>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</si>
  <si>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</si>
  <si>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</si>
  <si>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</si>
  <si>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</si>
  <si>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</si>
  <si>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</si>
  <si>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</si>
  <si>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</si>
  <si>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</si>
  <si>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</si>
  <si>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</si>
  <si>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</si>
  <si>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</si>
  <si>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</si>
  <si>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</si>
  <si>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</si>
  <si>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</si>
  <si>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</si>
  <si>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</si>
  <si>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</si>
  <si>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</si>
  <si>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</si>
  <si>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</si>
  <si>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</si>
  <si>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</si>
  <si>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</si>
  <si>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</si>
  <si>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</si>
  <si>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</si>
  <si>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</si>
  <si>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</si>
  <si>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</si>
  <si>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</si>
  <si>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</si>
  <si>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</si>
  <si>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</si>
  <si>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</si>
  <si>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</si>
  <si>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</si>
  <si>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</si>
  <si>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</si>
  <si>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</si>
  <si>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</si>
  <si>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</si>
  <si>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</si>
  <si>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</si>
  <si>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</si>
  <si>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</si>
  <si>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</si>
  <si>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</si>
  <si>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</si>
  <si>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</si>
  <si>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</si>
  <si>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</si>
  <si>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</si>
  <si>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</si>
  <si>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</si>
  <si>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</si>
  <si>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</si>
  <si>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</si>
  <si>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</si>
  <si>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</si>
  <si>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</si>
  <si>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</si>
  <si>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</si>
  <si>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</si>
  <si>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</si>
  <si>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</si>
  <si>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</si>
  <si>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</si>
  <si>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</si>
  <si>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</si>
  <si>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</si>
  <si>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</si>
  <si>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</si>
  <si>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</si>
  <si>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</si>
  <si>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</si>
  <si>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</si>
  <si>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</si>
  <si>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</si>
  <si>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</si>
  <si>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</si>
  <si>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</si>
  <si>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</si>
  <si>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</si>
  <si>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</si>
  <si>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</si>
  <si>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</si>
  <si>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</si>
  <si>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</si>
  <si>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</si>
  <si>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</si>
  <si>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</si>
  <si>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</si>
  <si>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</si>
  <si>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</si>
  <si>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</si>
  <si>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</si>
  <si>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</si>
  <si>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</si>
  <si>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</si>
  <si>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</si>
  <si>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</si>
  <si>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</si>
  <si>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</si>
  <si>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</si>
  <si>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</si>
  <si>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</si>
  <si>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</si>
  <si>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</si>
  <si>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</si>
  <si>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</si>
  <si>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</si>
  <si>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</si>
  <si>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</si>
  <si>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</si>
  <si>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</si>
  <si>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</si>
  <si>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</si>
  <si>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</si>
  <si>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</si>
  <si>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</si>
  <si>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</si>
  <si>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</si>
  <si>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</si>
  <si>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</si>
  <si>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</si>
  <si>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</si>
  <si>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</si>
  <si>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</si>
  <si>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</si>
  <si>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</si>
  <si>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</si>
  <si>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</si>
  <si>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</si>
  <si>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</si>
  <si>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</si>
  <si>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</si>
  <si>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</si>
  <si>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</si>
  <si>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</si>
  <si>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</si>
  <si>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</si>
  <si>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</si>
  <si>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</si>
  <si>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</si>
  <si>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</si>
  <si>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</si>
  <si>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</si>
  <si>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</si>
  <si>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</si>
  <si>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</si>
  <si>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</si>
  <si>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</si>
  <si>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</si>
  <si>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</si>
  <si>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</si>
  <si>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</si>
  <si>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</si>
  <si>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</si>
  <si>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</si>
  <si>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</si>
  <si>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</si>
  <si>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</si>
  <si>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</si>
  <si>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</si>
  <si>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</si>
  <si>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</si>
  <si>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</si>
  <si>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</si>
  <si>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</si>
  <si>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</si>
  <si>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</si>
  <si>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</si>
  <si>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</si>
  <si>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</si>
  <si>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</si>
  <si>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</si>
  <si>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</si>
  <si>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</si>
  <si>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</si>
  <si>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</si>
  <si>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</si>
  <si>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</si>
  <si>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</si>
  <si>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</si>
  <si>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</si>
  <si>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</si>
  <si>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</si>
  <si>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</si>
  <si>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</si>
  <si>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</si>
  <si>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</si>
  <si>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</si>
  <si>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</si>
  <si>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</si>
  <si>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</si>
  <si>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</si>
  <si>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</si>
  <si>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</si>
  <si>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</si>
  <si>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</si>
  <si>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</si>
  <si>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</si>
  <si>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</si>
  <si>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</si>
  <si>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</si>
  <si>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</si>
  <si>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</si>
  <si>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</si>
  <si>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</si>
  <si>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</si>
  <si>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</si>
  <si>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</si>
  <si>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</si>
  <si>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</si>
  <si>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</si>
  <si>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</si>
  <si>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</si>
  <si>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</si>
  <si>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</si>
  <si>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</si>
  <si>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</si>
  <si>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</si>
  <si>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</si>
  <si>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</si>
  <si>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</si>
  <si>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</si>
  <si>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</si>
  <si>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</si>
  <si>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</si>
  <si>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</si>
  <si>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</si>
  <si>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</si>
  <si>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</si>
  <si>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</si>
  <si>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</si>
  <si>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</si>
  <si>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</si>
  <si>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</si>
  <si>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</si>
  <si>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</si>
  <si>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</si>
  <si>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</si>
  <si>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</si>
  <si>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</si>
  <si>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</si>
  <si>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</si>
  <si>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</si>
  <si>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</si>
  <si>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</si>
  <si>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</si>
  <si>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</si>
  <si>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</si>
  <si>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</si>
  <si>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</si>
  <si>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</si>
  <si>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</si>
  <si>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</si>
  <si>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</si>
  <si>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</si>
  <si>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</si>
  <si>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</si>
  <si>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</si>
  <si>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</si>
  <si>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</si>
  <si>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</si>
  <si>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</si>
  <si>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</si>
  <si>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</si>
  <si>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</si>
  <si>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</si>
  <si>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</si>
  <si>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</si>
  <si>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</si>
  <si>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</si>
  <si>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</si>
  <si>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</si>
  <si>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</si>
  <si>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</si>
  <si>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</si>
  <si>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</si>
  <si>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</si>
  <si>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</si>
  <si>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</si>
  <si>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</si>
  <si>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</si>
  <si>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</si>
  <si>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</si>
  <si>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</si>
  <si>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</si>
  <si>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</si>
  <si>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</si>
  <si>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</si>
  <si>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</si>
  <si>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</si>
  <si>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</si>
  <si>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</si>
  <si>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</si>
  <si>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</si>
  <si>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</si>
  <si>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</si>
  <si>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</si>
  <si>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</si>
  <si>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</si>
  <si>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</si>
  <si>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</si>
  <si>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</si>
  <si>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</si>
  <si>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</si>
  <si>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</si>
  <si>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</si>
  <si>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</si>
  <si>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</si>
  <si>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</si>
  <si>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</si>
  <si>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</si>
  <si>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</si>
  <si>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</si>
  <si>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</si>
  <si>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</si>
  <si>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</si>
  <si>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</si>
  <si>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</si>
  <si>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</si>
  <si>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</si>
  <si>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</si>
  <si>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</si>
  <si>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</si>
  <si>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</si>
  <si>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</si>
  <si>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</si>
  <si>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</si>
  <si>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</si>
  <si>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</si>
  <si>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</si>
  <si>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</si>
  <si>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</si>
  <si>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</si>
  <si>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</si>
  <si>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</si>
  <si>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</si>
  <si>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</si>
  <si>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</si>
  <si>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</si>
  <si>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</si>
  <si>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</si>
  <si>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</si>
  <si>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</si>
  <si>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</si>
  <si>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</si>
  <si>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</si>
  <si>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</si>
  <si>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</si>
  <si>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</si>
  <si>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</si>
  <si>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</si>
  <si>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</si>
  <si>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</si>
  <si>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</si>
  <si>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</si>
  <si>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</si>
  <si>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</si>
  <si>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</si>
  <si>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</si>
  <si>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</si>
  <si>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</si>
  <si>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</si>
  <si>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</si>
  <si>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</si>
  <si>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</si>
  <si>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</si>
  <si>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</si>
  <si>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</si>
  <si>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</si>
  <si>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</si>
  <si>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</si>
  <si>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</si>
  <si>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</si>
  <si>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</si>
  <si>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</si>
  <si>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</si>
  <si>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</si>
  <si>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</si>
  <si>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</si>
  <si>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</si>
  <si>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</si>
  <si>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</si>
  <si>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</si>
  <si>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</si>
  <si>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</si>
  <si>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</si>
  <si>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</si>
  <si>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</si>
  <si>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</si>
  <si>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</si>
  <si>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</si>
  <si>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</si>
  <si>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</si>
  <si>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</si>
  <si>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</si>
  <si>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</si>
  <si>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</si>
  <si>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</si>
  <si>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</si>
  <si>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</si>
  <si>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</si>
  <si>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</si>
  <si>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</si>
  <si>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</si>
  <si>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</si>
  <si>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</si>
  <si>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</si>
  <si>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</si>
  <si>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</si>
  <si>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</si>
  <si>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</si>
  <si>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</si>
  <si>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</si>
  <si>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</si>
  <si>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</si>
  <si>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</si>
  <si>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</si>
  <si>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</si>
  <si>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</si>
  <si>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</si>
  <si>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</si>
  <si>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</si>
  <si>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</si>
  <si>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</si>
  <si>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</si>
  <si>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</si>
  <si>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</si>
  <si>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</si>
  <si>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</si>
  <si>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</si>
  <si>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</si>
  <si>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</si>
  <si>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</si>
  <si>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</si>
  <si>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</si>
  <si>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</si>
  <si>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</si>
  <si>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</si>
  <si>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</si>
  <si>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</si>
  <si>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</si>
  <si>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</si>
  <si>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</si>
  <si>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</si>
  <si>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</si>
  <si>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</si>
  <si>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</si>
  <si>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</si>
  <si>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</si>
  <si>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</si>
  <si>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</si>
  <si>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</si>
  <si>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</si>
  <si>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</si>
  <si>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</si>
  <si>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</si>
  <si>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</si>
  <si>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</si>
  <si>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</si>
  <si>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</si>
  <si>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</si>
  <si>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</si>
  <si>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</si>
  <si>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</si>
  <si>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</si>
  <si>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</si>
  <si>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</si>
  <si>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</si>
  <si>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</si>
  <si>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</si>
  <si>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</si>
  <si>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</si>
  <si>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</si>
  <si>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</si>
  <si>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</si>
  <si>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</si>
  <si>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</si>
  <si>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</si>
  <si>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</si>
  <si>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</si>
  <si>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</si>
  <si>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</si>
  <si>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</si>
  <si>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</si>
  <si>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</si>
  <si>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</si>
  <si>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</si>
  <si>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</si>
  <si>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</si>
  <si>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</si>
  <si>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</si>
  <si>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</si>
  <si>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</si>
  <si>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</si>
  <si>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</si>
  <si>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</si>
  <si>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</si>
  <si>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</si>
  <si>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</si>
  <si>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</si>
  <si>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</si>
  <si>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</si>
  <si>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</si>
  <si>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</si>
  <si>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</si>
  <si>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</si>
  <si>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</si>
  <si>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</si>
  <si>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</si>
  <si>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</si>
  <si>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</si>
  <si>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</si>
  <si>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</si>
  <si>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</si>
  <si>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</si>
  <si>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</si>
  <si>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</si>
  <si>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</si>
  <si>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</si>
  <si>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</si>
  <si>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</si>
  <si>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</si>
  <si>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</si>
  <si>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</si>
  <si>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</si>
  <si>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</si>
  <si>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</si>
  <si>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</si>
  <si>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</si>
  <si>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</si>
  <si>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</si>
  <si>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</si>
  <si>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</si>
  <si>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</si>
  <si>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</si>
  <si>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</si>
  <si>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</si>
  <si>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</si>
  <si>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</si>
  <si>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</si>
  <si>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</si>
  <si>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</si>
  <si>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</si>
  <si>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</si>
  <si>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</si>
  <si>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</si>
  <si>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</si>
  <si>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</si>
  <si>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</si>
  <si>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</si>
  <si>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</si>
  <si>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</si>
  <si>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</si>
  <si>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</si>
  <si>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</si>
  <si>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</si>
  <si>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</si>
  <si>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</si>
  <si>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</si>
  <si>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</si>
  <si>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</si>
  <si>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</si>
  <si>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</si>
  <si>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</si>
  <si>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</si>
  <si>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</si>
  <si>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</si>
  <si>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</si>
  <si>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</si>
  <si>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</si>
  <si>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</si>
  <si>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</si>
  <si>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</si>
  <si>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</si>
  <si>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</si>
  <si>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</si>
  <si>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</si>
  <si>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</si>
  <si>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</si>
  <si>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</si>
  <si>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</si>
  <si>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</si>
  <si>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</si>
  <si>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</si>
  <si>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</si>
  <si>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</si>
  <si>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</si>
  <si>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</si>
  <si>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</si>
  <si>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</si>
  <si>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</si>
  <si>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</si>
  <si>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</si>
  <si>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</si>
  <si>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</si>
  <si>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</si>
  <si>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</si>
  <si>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</si>
  <si>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</si>
  <si>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</si>
  <si>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</si>
  <si>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</si>
  <si>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</si>
  <si>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</si>
  <si>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</si>
  <si>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</si>
  <si>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</si>
  <si>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</si>
  <si>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</si>
  <si>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</si>
  <si>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</si>
  <si>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</si>
  <si>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</si>
  <si>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</si>
  <si>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</si>
  <si>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</si>
  <si>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</si>
  <si>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</si>
  <si>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</si>
  <si>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</si>
  <si>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</si>
  <si>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</si>
  <si>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</si>
  <si>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</si>
  <si>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</si>
  <si>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</si>
  <si>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</si>
  <si>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</si>
  <si>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</si>
  <si>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</si>
  <si>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</si>
  <si>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</si>
  <si>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</si>
  <si>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</si>
  <si>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</si>
  <si>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</si>
  <si>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</si>
  <si>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</si>
  <si>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</si>
  <si>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</si>
  <si>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</si>
  <si>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</si>
  <si>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</si>
  <si>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</si>
  <si>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</si>
  <si>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</si>
  <si>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</si>
  <si>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</si>
  <si>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</si>
  <si>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</si>
  <si>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</si>
  <si>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</si>
  <si>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</si>
  <si>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</si>
  <si>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</si>
  <si>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</si>
  <si>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</si>
  <si>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</si>
  <si>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</si>
  <si>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</si>
  <si>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</si>
  <si>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</si>
  <si>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</si>
  <si>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</si>
  <si>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</si>
  <si>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</si>
  <si>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</si>
  <si>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</si>
  <si>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</si>
  <si>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</si>
  <si>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</si>
  <si>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</si>
  <si>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</si>
  <si>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</si>
  <si>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</si>
  <si>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</si>
  <si>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</si>
  <si>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</si>
  <si>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</si>
  <si>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</si>
  <si>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</si>
  <si>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</si>
  <si>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</si>
  <si>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</si>
  <si>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</si>
  <si>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</si>
  <si>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</si>
  <si>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</si>
  <si>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</si>
  <si>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</si>
  <si>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</si>
  <si>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</si>
  <si>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</si>
  <si>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</si>
  <si>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</si>
  <si>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</si>
  <si>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</si>
  <si>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</si>
  <si>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</si>
  <si>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</si>
  <si>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</si>
  <si>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</si>
  <si>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</si>
  <si>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</si>
  <si>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</si>
  <si>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</si>
  <si>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</si>
  <si>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</si>
  <si>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</si>
  <si>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</si>
  <si>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</si>
  <si>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</si>
  <si>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</si>
  <si>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</si>
  <si>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</si>
  <si>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</si>
  <si>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</si>
  <si>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</si>
  <si>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</si>
  <si>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</si>
  <si>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</si>
  <si>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</si>
  <si>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</si>
  <si>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</si>
  <si>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</si>
  <si>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</si>
  <si>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</si>
  <si>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</si>
  <si>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</si>
  <si>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</si>
  <si>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</si>
  <si>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</si>
  <si>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</si>
  <si>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</si>
  <si>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</si>
  <si>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</si>
  <si>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</si>
  <si>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</si>
  <si>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</si>
  <si>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</si>
  <si>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</si>
  <si>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</si>
  <si>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</si>
  <si>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</si>
  <si>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</si>
  <si>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</si>
  <si>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</si>
  <si>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</si>
  <si>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</si>
  <si>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</si>
  <si>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</si>
  <si>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</si>
  <si>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</si>
  <si>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</si>
  <si>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</si>
  <si>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</si>
  <si>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</si>
  <si>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</si>
  <si>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</si>
  <si>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</si>
  <si>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</si>
  <si>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</si>
  <si>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</si>
  <si>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</si>
  <si>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</si>
  <si>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</si>
  <si>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</si>
  <si>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</si>
  <si>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</si>
  <si>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</si>
  <si>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</si>
  <si>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</si>
  <si>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</si>
  <si>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</si>
  <si>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</si>
  <si>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</si>
  <si>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</si>
  <si>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</si>
  <si>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</si>
  <si>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</si>
  <si>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</si>
  <si>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</si>
  <si>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</si>
  <si>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</si>
  <si>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</si>
  <si>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</si>
  <si>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</si>
  <si>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</si>
  <si>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</si>
  <si>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</si>
  <si>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</si>
  <si>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</si>
  <si>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</si>
  <si>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</si>
  <si>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</si>
  <si>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</si>
  <si>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</si>
  <si>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</si>
  <si>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</si>
  <si>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</si>
  <si>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</si>
  <si>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</si>
  <si>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</si>
  <si>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</si>
  <si>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</si>
  <si>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</si>
  <si>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</si>
  <si>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</si>
  <si>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</si>
  <si>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</si>
  <si>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</si>
  <si>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</si>
  <si>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</si>
  <si>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</si>
  <si>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</si>
  <si>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</si>
  <si>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</si>
  <si>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</si>
  <si>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</si>
  <si>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</si>
  <si>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</si>
  <si>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</si>
  <si>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</si>
  <si>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</si>
  <si>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</si>
  <si>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</si>
  <si>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</si>
  <si>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</si>
  <si>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</si>
  <si>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</si>
  <si>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</si>
  <si>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</si>
  <si>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</si>
  <si>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</si>
  <si>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</si>
  <si>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</si>
  <si>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</si>
  <si>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</si>
  <si>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</si>
  <si>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</si>
  <si>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</si>
  <si>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</si>
  <si>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</si>
  <si>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</si>
  <si>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</si>
  <si>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</si>
  <si>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</si>
  <si>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</si>
  <si>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</si>
  <si>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</si>
  <si>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</si>
  <si>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</si>
  <si>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</si>
  <si>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</si>
  <si>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</si>
  <si>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</si>
  <si>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</si>
  <si>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</si>
  <si>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</si>
  <si>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</si>
  <si>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</si>
  <si>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</si>
  <si>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</si>
  <si>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</si>
  <si>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</si>
  <si>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</si>
  <si>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</si>
  <si>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</si>
  <si>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</si>
  <si>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</si>
  <si>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</si>
  <si>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</si>
  <si>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</si>
  <si>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</si>
  <si>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</si>
  <si>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</si>
  <si>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</si>
  <si>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</si>
  <si>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</si>
  <si>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</si>
  <si>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</si>
  <si>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</si>
  <si>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</si>
  <si>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</si>
  <si>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</si>
  <si>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</si>
  <si>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</si>
  <si>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</si>
  <si>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</si>
  <si>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</si>
  <si>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</si>
  <si>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</si>
  <si>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</si>
  <si>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</si>
  <si>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</si>
  <si>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</si>
  <si>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</si>
  <si>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</si>
  <si>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</si>
  <si>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</si>
  <si>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</si>
  <si>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</si>
  <si>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</si>
  <si>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</si>
  <si>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</si>
  <si>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</si>
  <si>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</si>
  <si>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</si>
  <si>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</si>
  <si>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</si>
  <si>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</si>
  <si>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</si>
  <si>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</si>
  <si>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</si>
  <si>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</si>
  <si>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</si>
  <si>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</si>
  <si>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</si>
  <si>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</si>
  <si>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</si>
  <si>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</si>
  <si>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</si>
  <si>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</si>
  <si>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</si>
  <si>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</si>
  <si>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</si>
  <si>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</si>
  <si>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</si>
  <si>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</si>
  <si>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</si>
  <si>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</si>
  <si>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</si>
  <si>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</si>
  <si>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</si>
  <si>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</si>
  <si>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</si>
  <si>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</si>
  <si>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</si>
  <si>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</si>
  <si>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</si>
  <si>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</si>
  <si>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</si>
  <si>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</si>
  <si>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</si>
  <si>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</si>
  <si>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</si>
  <si>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</si>
  <si>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</si>
  <si>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</si>
  <si>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</si>
  <si>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</si>
  <si>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</si>
  <si>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</si>
  <si>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</si>
  <si>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</si>
  <si>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</si>
  <si>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</si>
  <si>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</si>
  <si>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</si>
  <si>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</si>
  <si>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</si>
  <si>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</si>
  <si>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</si>
  <si>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</si>
  <si>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</si>
  <si>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</si>
  <si>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</si>
  <si>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</si>
  <si>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</si>
  <si>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</si>
  <si>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</si>
  <si>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</si>
  <si>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</si>
  <si>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</si>
  <si>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</si>
  <si>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</si>
  <si>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</si>
  <si>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</si>
  <si>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</si>
  <si>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</si>
  <si>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</si>
  <si>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</si>
  <si>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</si>
  <si>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</si>
  <si>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</si>
  <si>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</si>
  <si>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</si>
  <si>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</si>
  <si>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</si>
  <si>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</si>
  <si>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</si>
  <si>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</si>
  <si>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</si>
  <si>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</si>
  <si>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</si>
  <si>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</si>
  <si>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</si>
  <si>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</si>
  <si>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</si>
  <si>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</si>
  <si>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</si>
  <si>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</si>
  <si>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</si>
  <si>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</si>
  <si>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</si>
  <si>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</si>
  <si>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</si>
  <si>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</si>
  <si>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</si>
  <si>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</si>
  <si>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</si>
  <si>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</si>
  <si>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</si>
  <si>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</si>
  <si>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</si>
  <si>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</si>
  <si>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</si>
  <si>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</si>
  <si>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</si>
  <si>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</si>
  <si>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</si>
  <si>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</si>
  <si>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</si>
  <si>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</si>
  <si>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</si>
  <si>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</si>
  <si>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</si>
  <si>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</si>
  <si>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</si>
  <si>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</si>
  <si>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</si>
  <si>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</si>
  <si>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</si>
  <si>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</si>
  <si>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</si>
  <si>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</si>
  <si>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</si>
  <si>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</si>
  <si>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</si>
  <si>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</si>
  <si>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</si>
  <si>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</si>
  <si>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</si>
  <si>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</si>
  <si>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</si>
  <si>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</si>
  <si>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</si>
  <si>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</si>
  <si>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</si>
  <si>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</si>
  <si>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</si>
  <si>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</si>
  <si>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</si>
  <si>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</si>
  <si>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</si>
  <si>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</si>
  <si>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</si>
  <si>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</si>
  <si>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</si>
  <si>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</si>
  <si>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</si>
  <si>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</si>
  <si>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</si>
  <si>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</si>
  <si>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</si>
  <si>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</si>
  <si>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</si>
  <si>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</si>
  <si>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</si>
  <si>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</si>
  <si>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</si>
  <si>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</si>
  <si>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</si>
  <si>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</si>
  <si>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</si>
  <si>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</si>
  <si>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</si>
  <si>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</si>
  <si>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</si>
  <si>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</si>
  <si>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</si>
  <si>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</si>
  <si>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</si>
  <si>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</si>
  <si>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</si>
  <si>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</si>
  <si>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</si>
  <si>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</si>
  <si>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</si>
  <si>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</si>
  <si>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</si>
  <si>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</si>
  <si>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</si>
  <si>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</si>
  <si>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</si>
  <si>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</si>
  <si>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</si>
  <si>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</si>
  <si>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</si>
  <si>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</si>
  <si>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</si>
  <si>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</si>
  <si>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</si>
  <si>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</si>
  <si>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</si>
  <si>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</si>
  <si>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</si>
  <si>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</si>
  <si>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</si>
  <si>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</si>
  <si>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</si>
  <si>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</si>
  <si>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</si>
  <si>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</si>
  <si>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</si>
  <si>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</si>
  <si>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</si>
  <si>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</si>
  <si>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</si>
  <si>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</si>
  <si>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</si>
  <si>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</si>
  <si>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</si>
  <si>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</si>
  <si>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</si>
  <si>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</si>
  <si>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</si>
  <si>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</si>
  <si>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</si>
  <si>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</si>
  <si>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</si>
  <si>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</si>
  <si>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</si>
  <si>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</si>
  <si>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</si>
  <si>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</si>
  <si>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</si>
  <si>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</si>
  <si>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</si>
  <si>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</si>
  <si>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</si>
  <si>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</si>
  <si>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</si>
  <si>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</si>
  <si>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</si>
  <si>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</si>
  <si>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</si>
  <si>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</si>
  <si>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</si>
  <si>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</si>
  <si>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</si>
  <si>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</si>
  <si>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</si>
  <si>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</si>
  <si>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</si>
  <si>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</si>
  <si>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</si>
  <si>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</si>
  <si>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</si>
  <si>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</si>
  <si>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</si>
  <si>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</si>
  <si>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</si>
  <si>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</si>
  <si>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</si>
  <si>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</si>
  <si>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</si>
  <si>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</si>
  <si>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</si>
  <si>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</si>
  <si>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</si>
  <si>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</si>
  <si>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</si>
  <si>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</si>
  <si>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</si>
  <si>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</si>
  <si>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</si>
  <si>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</si>
  <si>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</si>
  <si>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</si>
  <si>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</si>
  <si>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</si>
  <si>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</si>
  <si>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</si>
  <si>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</si>
  <si>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</si>
  <si>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</si>
  <si>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</si>
  <si>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</si>
  <si>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</si>
  <si>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</si>
  <si>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</si>
  <si>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</si>
  <si>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</si>
  <si>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</si>
  <si>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</si>
  <si>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</si>
  <si>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</si>
  <si>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</si>
  <si>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</si>
  <si>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</si>
  <si>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</si>
  <si>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Estudiante sin ponencia (___)</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</si>
  <si>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</si>
  <si>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</si>
  <si>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</si>
  <si>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</si>
  <si>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</si>
  <si>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</si>
  <si>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</si>
  <si>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</si>
  <si>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</si>
  <si>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</si>
  <si>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</si>
  <si>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</si>
  <si>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</si>
  <si>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</si>
  <si>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</si>
  <si>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</si>
  <si>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</si>
  <si>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</si>
  <si>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</si>
  <si>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</si>
  <si>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</si>
  <si>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</si>
  <si>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</si>
  <si>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</si>
  <si>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</si>
  <si>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</si>
  <si>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</si>
  <si>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</si>
  <si>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</si>
  <si>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</si>
  <si>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</si>
  <si>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</si>
  <si>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</si>
  <si>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</si>
  <si>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</si>
  <si>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</si>
  <si>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</si>
  <si>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</si>
  <si>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</si>
  <si>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</si>
  <si>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</si>
  <si>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</si>
  <si>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</si>
  <si>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</si>
  <si>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</si>
  <si>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</si>
  <si>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</si>
  <si>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</si>
  <si>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</si>
  <si>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</si>
  <si>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</si>
  <si>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</si>
  <si>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</si>
  <si>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</si>
  <si>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</si>
  <si>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</si>
  <si>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</si>
  <si>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</si>
  <si>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</si>
  <si>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</si>
  <si>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</si>
  <si>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</si>
  <si>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</si>
  <si>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</si>
  <si>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</si>
  <si>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</si>
  <si>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</si>
  <si>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</si>
  <si>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</si>
  <si>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</si>
  <si>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</si>
  <si>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</si>
  <si>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</si>
  <si>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</si>
  <si>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</si>
  <si>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</si>
  <si>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</si>
  <si>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</si>
  <si>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</si>
  <si>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</si>
  <si>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</si>
  <si>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</si>
  <si>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</si>
  <si>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</si>
  <si>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</si>
  <si>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</si>
  <si>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</si>
  <si>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</si>
  <si>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</si>
  <si>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</si>
  <si>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Realizar 2 visitas tecnicas 1 por semestre</t>
  </si>
  <si>
    <t>Docentes sin ponencia (2</t>
  </si>
  <si>
    <t>Realizar análisis de pertinencia para los programas existentes</t>
  </si>
  <si>
    <r>
      <t xml:space="preserve">Estructuración de Documentos Maestros
Implica contratación de expertos temáticos
</t>
    </r>
    <r>
      <rPr>
        <b/>
        <sz val="10"/>
        <color indexed="8"/>
        <rFont val="Arial"/>
        <family val="2"/>
      </rPr>
      <t>Fac. Ingenierías</t>
    </r>
    <r>
      <rPr>
        <sz val="10"/>
        <color indexed="8"/>
        <rFont val="Arial"/>
        <family val="2"/>
      </rPr>
      <t xml:space="preserve">
</t>
    </r>
  </si>
  <si>
    <t>Fortalecer la planta docente a nivel de maestría __ y doctorado .</t>
  </si>
  <si>
    <t>Docentes con ponencia (2)</t>
  </si>
  <si>
    <t>Estudiantes con ponencia (1)</t>
  </si>
  <si>
    <t>Movilidad docente internacional con ponencia (1)</t>
  </si>
  <si>
    <t>Renovacion software RISK</t>
  </si>
  <si>
    <t>Adquisicion software STOCK MARKET CHALLENGE, Company Game</t>
  </si>
  <si>
    <t>Cursos 4 de 32 horas</t>
  </si>
  <si>
    <t>Jornada financiera y noche del ingeniero financiero</t>
  </si>
  <si>
    <t xml:space="preserve"> Mantener afiliación a  las redes a las cuales están suscritos los diferentes programas y promover nuevas vinculaciones. 
Afiliaciones REDAFIN</t>
  </si>
  <si>
    <t>Becas Beneficiarios Asproul</t>
  </si>
  <si>
    <t>Becas Beneficiarios Sinties</t>
  </si>
  <si>
    <t>Descuento Generacion E - 25%</t>
  </si>
  <si>
    <t>Descuento Intercambio Estudiantial</t>
  </si>
  <si>
    <t>Descuento Ser Pilo Paga</t>
  </si>
  <si>
    <t>Licencia Microsoft</t>
  </si>
  <si>
    <t>PROG. DE PERMANENCIA CON CALIDAD</t>
  </si>
  <si>
    <t>10030103</t>
  </si>
  <si>
    <t>FONDO DE ESTABILIDAD ICETEX</t>
  </si>
  <si>
    <t>NOMBRE: JORGE ENRIQUE RAMÍREZ</t>
  </si>
  <si>
    <t>CARGO: Decano</t>
  </si>
  <si>
    <t>FECHA: 13-08-2019</t>
  </si>
  <si>
    <t xml:space="preserve">NOMBRE: JULIANA LOPEZ RESTREPO </t>
  </si>
  <si>
    <t>CARGO: Directora de Programa</t>
  </si>
  <si>
    <r>
      <t>FECHA:</t>
    </r>
    <r>
      <rPr>
        <sz val="8"/>
        <color indexed="8"/>
        <rFont val="Arial Unicode MS"/>
        <family val="2"/>
      </rPr>
      <t xml:space="preserve"> </t>
    </r>
    <r>
      <rPr>
        <b/>
        <sz val="8"/>
        <color indexed="8"/>
        <rFont val="Arial"/>
        <family val="2"/>
      </rPr>
      <t>13-08-2019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</si>
</sst>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sz val="11"/>
      <color theme="0"/>
      <name val="Calibri"/>
      <family val="2"/>
      <scheme val="minor"/>
    </font>
    <font>
      <sz val="11"/>
      <color indexed="8"/>
      <name val="Calibri"/>
      <family val="2"/>
      <scheme val="minor"/>
    </font>
  </fonts>
  <fills count="31">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3" tint="0.59999389629810485"/>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39">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42" fontId="39" fillId="17" borderId="2" xfId="72" applyFont="1" applyFill="1" applyBorder="1" applyAlignment="1">
      <alignment vertical="center" wrapText="1"/>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168" fontId="44" fillId="15" borderId="1" xfId="0" applyNumberFormat="1" applyFont="1" applyFill="1" applyBorder="1" applyAlignment="1">
      <alignment horizontal="center" vertical="center" wrapText="1"/>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164" fontId="54" fillId="14" borderId="2" xfId="0" applyNumberFormat="1" applyFont="1" applyFill="1" applyBorder="1"/>
    <xf numFmtId="168" fontId="2" fillId="30" borderId="39" xfId="59" applyNumberFormat="1" applyFont="1" applyFill="1" applyBorder="1" applyAlignment="1" applyProtection="1">
      <alignment vertical="center"/>
    </xf>
    <xf numFmtId="169" fontId="55" fillId="0" borderId="0" xfId="26" applyNumberFormat="1" applyFont="1"/>
    <xf numFmtId="0" fontId="30" fillId="18" borderId="34" xfId="0" applyFont="1" applyFill="1" applyBorder="1" applyAlignment="1">
      <alignment vertical="center"/>
    </xf>
    <xf numFmtId="1" fontId="30" fillId="30" borderId="76" xfId="0" applyNumberFormat="1" applyFont="1" applyFill="1" applyBorder="1" applyAlignment="1">
      <alignment horizontal="center" vertical="center"/>
    </xf>
    <xf numFmtId="1" fontId="30" fillId="3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0" fontId="56" fillId="0" borderId="0" xfId="108" applyAlignment="1">
      <alignment vertical="center"/>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0" fontId="37" fillId="0" borderId="33" xfId="0" applyFont="1" applyBorder="1"/>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49" fontId="2" fillId="14" borderId="53" xfId="89" applyNumberFormat="1" applyFont="1" applyFill="1" applyBorder="1" applyAlignment="1" applyProtection="1">
      <alignment vertical="center" wrapText="1"/>
      <protection hidden="1"/>
    </xf>
    <xf numFmtId="49" fontId="2" fillId="14" borderId="54" xfId="89" applyNumberFormat="1" applyFont="1" applyFill="1" applyBorder="1" applyAlignment="1" applyProtection="1">
      <alignment vertical="center" wrapText="1"/>
      <protection hidden="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89" xfId="0" applyNumberFormat="1" applyFont="1" applyFill="1" applyBorder="1" applyAlignment="1">
      <alignment horizontal="center" vertical="center" wrapText="1"/>
    </xf>
    <xf numFmtId="14" fontId="14" fillId="14" borderId="0" xfId="89" applyNumberFormat="1" applyFont="1" applyFill="1" applyBorder="1" applyAlignment="1" applyProtection="1">
      <alignment horizontal="center" vertical="center"/>
      <protection locked="0"/>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0" fontId="29" fillId="0" borderId="44" xfId="0" applyFont="1" applyBorder="1" applyAlignment="1">
      <alignment horizontal="left"/>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0" fontId="0" fillId="0" borderId="44" xfId="0" applyBorder="1" applyAlignment="1">
      <alignment horizont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6729D581-6585-48DA-9731-BF0333497299}"/>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aime.velez\OneDrive%20-%20Universidad%20Libre\Planes%20de%20accion%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0" workbookViewId="0">
      <selection activeCell="F30" sqref="F30"/>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491"/>
      <c r="C1" s="492"/>
      <c r="D1" s="492"/>
      <c r="E1" s="492"/>
      <c r="F1" s="492"/>
      <c r="G1" s="3"/>
    </row>
    <row r="2" spans="1:10" s="1" customFormat="1" ht="23.25" customHeight="1">
      <c r="A2" s="197"/>
      <c r="B2" s="493" t="s">
        <v>4</v>
      </c>
      <c r="C2" s="494"/>
      <c r="D2" s="494"/>
      <c r="E2" s="494"/>
      <c r="F2" s="494"/>
      <c r="G2" s="3"/>
    </row>
    <row r="3" spans="1:10" s="1" customFormat="1" ht="23.25" customHeight="1">
      <c r="A3" s="197"/>
      <c r="B3" s="495" t="s">
        <v>279</v>
      </c>
      <c r="C3" s="496"/>
      <c r="D3" s="496"/>
      <c r="E3" s="496"/>
      <c r="F3" s="496"/>
      <c r="G3" s="3"/>
    </row>
    <row r="4" spans="1:10" s="1" customFormat="1" ht="10.5" customHeight="1">
      <c r="A4" s="34"/>
      <c r="B4" s="497"/>
      <c r="C4" s="498"/>
      <c r="D4" s="498"/>
      <c r="E4" s="498"/>
      <c r="F4" s="498"/>
      <c r="G4" s="3"/>
    </row>
    <row r="5" spans="1:10" s="1" customFormat="1" ht="10.5" customHeight="1" thickBot="1">
      <c r="A5" s="197"/>
      <c r="B5" s="499"/>
      <c r="C5" s="492"/>
      <c r="D5" s="492"/>
      <c r="E5" s="492"/>
      <c r="F5" s="492"/>
      <c r="G5" s="3"/>
    </row>
    <row r="6" spans="1:10" s="71" customFormat="1" ht="25.5" customHeight="1" thickBot="1">
      <c r="B6" s="198" t="s">
        <v>12</v>
      </c>
      <c r="C6" s="500" t="s">
        <v>280</v>
      </c>
      <c r="D6" s="501"/>
      <c r="E6" s="199" t="s">
        <v>111</v>
      </c>
      <c r="F6" s="264" t="s">
        <v>281</v>
      </c>
    </row>
    <row r="7" spans="1:10" s="203" customFormat="1" ht="13.5" thickBot="1">
      <c r="A7" s="200"/>
      <c r="B7" s="201"/>
      <c r="C7" s="201"/>
      <c r="D7" s="201"/>
      <c r="E7" s="202"/>
      <c r="F7" s="202"/>
      <c r="G7" s="200"/>
    </row>
    <row r="8" spans="1:10" s="203" customFormat="1" ht="16.5" customHeight="1" thickBot="1">
      <c r="B8" s="502" t="s">
        <v>1</v>
      </c>
      <c r="C8" s="503"/>
      <c r="D8" s="503"/>
      <c r="E8" s="503"/>
      <c r="F8" s="504"/>
    </row>
    <row r="9" spans="1:10" s="203" customFormat="1" ht="16.5" customHeight="1" thickBot="1">
      <c r="B9" s="204" t="s">
        <v>141</v>
      </c>
      <c r="C9" s="502" t="str">
        <f>+VLOOKUP(B12,Listas!$B$7:$D$98,3,FALSE)</f>
        <v>FACULTAD DE INGENIERIA</v>
      </c>
      <c r="D9" s="503"/>
      <c r="E9" s="503"/>
      <c r="F9" s="504"/>
    </row>
    <row r="10" spans="1:10" s="203" customFormat="1" ht="13.5" thickBot="1">
      <c r="B10" s="204" t="s">
        <v>8</v>
      </c>
      <c r="C10" s="204"/>
      <c r="D10" s="502" t="s">
        <v>9</v>
      </c>
      <c r="E10" s="504"/>
      <c r="F10" s="204"/>
    </row>
    <row r="11" spans="1:10" s="203" customFormat="1" ht="16.5" customHeight="1" thickBot="1">
      <c r="B11" s="502" t="s">
        <v>202</v>
      </c>
      <c r="C11" s="503"/>
      <c r="D11" s="504"/>
      <c r="E11" s="502" t="s">
        <v>7</v>
      </c>
      <c r="F11" s="504"/>
    </row>
    <row r="12" spans="1:10" s="71" customFormat="1" ht="16.5" customHeight="1">
      <c r="B12" s="507" t="s">
        <v>354</v>
      </c>
      <c r="C12" s="508"/>
      <c r="D12" s="509"/>
      <c r="E12" s="516" t="str">
        <f>+VLOOKUP($B$12,Listas!$B$8:$C$98,2,FALSE)</f>
        <v>05010107</v>
      </c>
      <c r="F12" s="517"/>
    </row>
    <row r="13" spans="1:10" s="71" customFormat="1" ht="16.5" customHeight="1" thickBot="1">
      <c r="B13" s="510"/>
      <c r="C13" s="511"/>
      <c r="D13" s="512"/>
      <c r="E13" s="518"/>
      <c r="F13" s="519"/>
      <c r="G13" s="205"/>
      <c r="H13" s="205"/>
      <c r="I13" s="205"/>
      <c r="J13" s="205"/>
    </row>
    <row r="14" spans="1:10" ht="13.5" thickBot="1">
      <c r="B14" s="206"/>
      <c r="C14" s="207"/>
      <c r="D14" s="208"/>
      <c r="E14" s="207"/>
      <c r="F14" s="209"/>
    </row>
    <row r="15" spans="1:10" s="210" customFormat="1" ht="13.5" thickBot="1">
      <c r="B15" s="513" t="s">
        <v>140</v>
      </c>
      <c r="C15" s="514"/>
      <c r="D15" s="514"/>
      <c r="E15" s="515"/>
      <c r="F15" s="211" t="s">
        <v>247</v>
      </c>
      <c r="G15" s="205"/>
      <c r="H15" s="205"/>
      <c r="I15" s="205"/>
      <c r="J15" s="205"/>
    </row>
    <row r="16" spans="1:10" ht="13.5" thickBot="1">
      <c r="B16" s="212" t="s">
        <v>137</v>
      </c>
      <c r="C16" s="213"/>
      <c r="D16" s="214"/>
      <c r="E16" s="215"/>
      <c r="F16" s="216"/>
    </row>
    <row r="17" spans="2:7">
      <c r="B17" s="217" t="s">
        <v>133</v>
      </c>
      <c r="C17" s="218"/>
      <c r="D17" s="219"/>
      <c r="E17" s="220"/>
      <c r="F17" s="299">
        <f>+INGRESOS!L27</f>
        <v>1079089000</v>
      </c>
    </row>
    <row r="18" spans="2:7">
      <c r="B18" s="221" t="s">
        <v>134</v>
      </c>
      <c r="C18" s="222"/>
      <c r="D18" s="223"/>
      <c r="E18" s="224"/>
      <c r="F18" s="300">
        <f>+INGRESOS!L28</f>
        <v>6000000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300">
        <f>-INGRESOS!L67</f>
        <v>-48422000</v>
      </c>
    </row>
    <row r="23" spans="2:7">
      <c r="B23" s="221" t="s">
        <v>51</v>
      </c>
      <c r="C23" s="227"/>
      <c r="D23" s="228"/>
      <c r="E23" s="225"/>
      <c r="F23" s="300">
        <f>-INGRESOS!L79</f>
        <v>-9240000</v>
      </c>
    </row>
    <row r="24" spans="2:7">
      <c r="B24" s="221" t="s">
        <v>132</v>
      </c>
      <c r="C24" s="227"/>
      <c r="D24" s="228"/>
      <c r="E24" s="225"/>
      <c r="F24" s="300">
        <f>+INGRESOS!L80</f>
        <v>0</v>
      </c>
    </row>
    <row r="25" spans="2:7">
      <c r="B25" s="230" t="s">
        <v>270</v>
      </c>
      <c r="C25" s="227"/>
      <c r="D25" s="228"/>
      <c r="E25" s="225"/>
      <c r="F25" s="300">
        <f>+INGRESOS!F106</f>
        <v>31278000</v>
      </c>
    </row>
    <row r="26" spans="2:7" ht="13.5" thickBot="1">
      <c r="B26" s="231" t="s">
        <v>269</v>
      </c>
      <c r="C26" s="232"/>
      <c r="D26" s="233"/>
      <c r="E26" s="234"/>
      <c r="F26" s="302">
        <f>+INGRESOS!L106</f>
        <v>0</v>
      </c>
    </row>
    <row r="27" spans="2:7" ht="13.5" thickBot="1">
      <c r="B27" s="235" t="s">
        <v>130</v>
      </c>
      <c r="C27" s="236"/>
      <c r="D27" s="236"/>
      <c r="E27" s="237"/>
      <c r="F27" s="303">
        <f>+SUM(F17:F26)</f>
        <v>1058705000</v>
      </c>
      <c r="G27" s="304">
        <f>+F27-INGRESOS!L108</f>
        <v>0</v>
      </c>
    </row>
    <row r="28" spans="2:7" ht="13.5" thickBot="1">
      <c r="B28" s="212"/>
      <c r="C28" s="213"/>
      <c r="D28" s="214"/>
      <c r="E28" s="215"/>
      <c r="F28" s="216"/>
    </row>
    <row r="29" spans="2:7" ht="12.75" customHeight="1">
      <c r="B29" s="489" t="s">
        <v>267</v>
      </c>
      <c r="C29" s="490"/>
      <c r="D29" s="490"/>
      <c r="E29" s="305">
        <f>+F29/F27</f>
        <v>0.54490344335768703</v>
      </c>
      <c r="F29" s="306">
        <v>576892000</v>
      </c>
    </row>
    <row r="30" spans="2:7">
      <c r="B30" s="241" t="s">
        <v>268</v>
      </c>
      <c r="C30" s="238"/>
      <c r="D30" s="239"/>
      <c r="E30" s="305">
        <v>0.22</v>
      </c>
      <c r="F30" s="306">
        <f>+MROUND(F27*E30,1000)</f>
        <v>232915000</v>
      </c>
    </row>
    <row r="31" spans="2:7">
      <c r="B31" s="241" t="s">
        <v>277</v>
      </c>
      <c r="C31" s="238"/>
      <c r="D31" s="239"/>
      <c r="E31" s="240"/>
      <c r="F31" s="306">
        <f>+'Total Presupuesto'!M15+'Total Presupuesto'!M16</f>
        <v>19198000</v>
      </c>
    </row>
    <row r="32" spans="2:7" ht="13.5" thickBot="1">
      <c r="B32" s="241" t="s">
        <v>278</v>
      </c>
      <c r="C32" s="238"/>
      <c r="D32" s="239"/>
      <c r="E32" s="240"/>
      <c r="F32" s="306">
        <f>+'GASTOS MAS INVERSIONES'!N427-TOTAL!F31</f>
        <v>202564000</v>
      </c>
    </row>
    <row r="33" spans="2:6" ht="13.5" thickBot="1">
      <c r="B33" s="235" t="s">
        <v>139</v>
      </c>
      <c r="C33" s="236"/>
      <c r="D33" s="236"/>
      <c r="E33" s="237"/>
      <c r="F33" s="307">
        <f>+SUM(F29:F32)</f>
        <v>1031569000</v>
      </c>
    </row>
    <row r="34" spans="2:6" ht="13.5" thickBot="1">
      <c r="B34" s="246"/>
      <c r="C34" s="242"/>
      <c r="D34" s="243"/>
      <c r="E34" s="244"/>
      <c r="F34" s="245"/>
    </row>
    <row r="35" spans="2:6" ht="24" thickBot="1">
      <c r="B35" s="247" t="s">
        <v>138</v>
      </c>
      <c r="C35" s="248"/>
      <c r="D35" s="249"/>
      <c r="E35" s="250"/>
      <c r="F35" s="471">
        <f>+F27-F33</f>
        <v>27136000</v>
      </c>
    </row>
    <row r="37" spans="2:6" ht="13.5" thickBot="1"/>
    <row r="38" spans="2:6" ht="9" customHeight="1" thickBot="1">
      <c r="B38" s="251"/>
      <c r="C38" s="252"/>
      <c r="D38" s="253"/>
      <c r="E38" s="251"/>
      <c r="F38" s="254"/>
    </row>
    <row r="39" spans="2:6" s="255" customFormat="1">
      <c r="B39" s="256" t="s">
        <v>10</v>
      </c>
      <c r="C39" s="505" t="s">
        <v>128</v>
      </c>
      <c r="D39" s="506"/>
      <c r="E39" s="505" t="s">
        <v>129</v>
      </c>
      <c r="F39" s="506"/>
    </row>
    <row r="40" spans="2:6">
      <c r="B40" s="257" t="s">
        <v>1372</v>
      </c>
      <c r="C40" s="484" t="s">
        <v>1369</v>
      </c>
      <c r="D40" s="258"/>
      <c r="E40" s="257" t="s">
        <v>231</v>
      </c>
      <c r="F40" s="259" t="s">
        <v>439</v>
      </c>
    </row>
    <row r="41" spans="2:6">
      <c r="B41" s="260" t="s">
        <v>1373</v>
      </c>
      <c r="C41" s="485" t="s">
        <v>1370</v>
      </c>
      <c r="D41" s="258"/>
      <c r="E41" s="260" t="s">
        <v>242</v>
      </c>
      <c r="F41" s="259" t="s">
        <v>440</v>
      </c>
    </row>
    <row r="42" spans="2:6">
      <c r="B42" s="260" t="s">
        <v>1374</v>
      </c>
      <c r="C42" s="485" t="s">
        <v>1371</v>
      </c>
      <c r="D42" s="258"/>
      <c r="E42" s="260" t="s">
        <v>233</v>
      </c>
      <c r="F42" s="487">
        <v>43690</v>
      </c>
    </row>
    <row r="43" spans="2:6" ht="10.5" customHeight="1" thickBot="1">
      <c r="B43" s="261"/>
      <c r="C43" s="486"/>
      <c r="D43" s="262"/>
      <c r="E43" s="261"/>
      <c r="F43" s="263"/>
    </row>
    <row r="48" spans="2:6">
      <c r="B48" s="205" t="str">
        <f>UPPER(B43)</f>
        <v/>
      </c>
    </row>
  </sheetData>
  <mergeCells count="16">
    <mergeCell ref="C6:D6"/>
    <mergeCell ref="C9:F9"/>
    <mergeCell ref="D10:E10"/>
    <mergeCell ref="E39:F39"/>
    <mergeCell ref="C39:D39"/>
    <mergeCell ref="B8:F8"/>
    <mergeCell ref="B12:D13"/>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76" zoomScale="80" zoomScaleNormal="80" workbookViewId="0">
      <selection activeCell="F98" sqref="F98"/>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6.425781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48"/>
      <c r="B1" s="549"/>
      <c r="C1" s="549"/>
      <c r="D1" s="549"/>
      <c r="E1" s="549"/>
      <c r="F1" s="549"/>
      <c r="G1" s="549"/>
      <c r="H1" s="549"/>
      <c r="I1" s="549"/>
      <c r="J1" s="549"/>
      <c r="K1" s="549"/>
      <c r="L1" s="549"/>
      <c r="M1" s="55"/>
    </row>
    <row r="2" spans="1:13" s="54" customFormat="1" ht="23.25" customHeight="1">
      <c r="A2" s="558" t="s">
        <v>4</v>
      </c>
      <c r="B2" s="559"/>
      <c r="C2" s="559"/>
      <c r="D2" s="559"/>
      <c r="E2" s="559"/>
      <c r="F2" s="559"/>
      <c r="G2" s="559"/>
      <c r="H2" s="559"/>
      <c r="I2" s="559"/>
      <c r="J2" s="559"/>
      <c r="K2" s="559"/>
      <c r="L2" s="559"/>
      <c r="M2" s="55"/>
    </row>
    <row r="3" spans="1:13" s="54" customFormat="1" ht="23.25" customHeight="1">
      <c r="A3" s="560" t="s">
        <v>110</v>
      </c>
      <c r="B3" s="561"/>
      <c r="C3" s="561"/>
      <c r="D3" s="561"/>
      <c r="E3" s="561"/>
      <c r="F3" s="561"/>
      <c r="G3" s="561"/>
      <c r="H3" s="561"/>
      <c r="I3" s="561"/>
      <c r="J3" s="561"/>
      <c r="K3" s="561"/>
      <c r="L3" s="561"/>
      <c r="M3" s="55"/>
    </row>
    <row r="4" spans="1:13" s="54" customFormat="1" ht="10.5" customHeight="1">
      <c r="A4" s="555"/>
      <c r="B4" s="556"/>
      <c r="C4" s="556"/>
      <c r="D4" s="556"/>
      <c r="E4" s="556"/>
      <c r="F4" s="556"/>
      <c r="G4" s="556"/>
      <c r="H4" s="556"/>
      <c r="I4" s="556"/>
      <c r="J4" s="556"/>
      <c r="K4" s="556"/>
      <c r="L4" s="556"/>
      <c r="M4" s="55"/>
    </row>
    <row r="5" spans="1:13" s="54" customFormat="1" ht="10.5" customHeight="1" thickBot="1">
      <c r="A5" s="557"/>
      <c r="B5" s="549"/>
      <c r="C5" s="549"/>
      <c r="D5" s="549"/>
      <c r="E5" s="549"/>
      <c r="F5" s="549"/>
      <c r="G5" s="549"/>
      <c r="H5" s="549"/>
      <c r="I5" s="549"/>
      <c r="J5" s="549"/>
      <c r="K5" s="549"/>
      <c r="L5" s="549"/>
      <c r="M5" s="55"/>
    </row>
    <row r="6" spans="1:13" s="7" customFormat="1" ht="25.5" customHeight="1" thickBot="1">
      <c r="A6" s="58" t="s">
        <v>12</v>
      </c>
      <c r="B6" s="550" t="str">
        <f>+TOTAL!C6</f>
        <v>PEREIRA</v>
      </c>
      <c r="C6" s="551"/>
      <c r="D6" s="551"/>
      <c r="E6" s="551"/>
      <c r="F6" s="551"/>
      <c r="G6" s="551"/>
      <c r="H6" s="551"/>
      <c r="I6" s="552"/>
      <c r="J6" s="58" t="s">
        <v>111</v>
      </c>
      <c r="K6" s="522" t="str">
        <f>+TOTAL!F6</f>
        <v>2020</v>
      </c>
      <c r="L6" s="523"/>
    </row>
    <row r="7" spans="1:13" s="70" customFormat="1" ht="13.5" thickBot="1">
      <c r="A7" s="67"/>
      <c r="B7" s="67"/>
      <c r="C7" s="67"/>
      <c r="D7" s="68"/>
      <c r="E7" s="67"/>
      <c r="F7" s="67"/>
      <c r="G7" s="69"/>
      <c r="H7" s="69"/>
      <c r="I7" s="67"/>
      <c r="J7" s="69"/>
      <c r="K7" s="69"/>
      <c r="L7" s="69"/>
    </row>
    <row r="8" spans="1:13" s="71" customFormat="1" ht="16.5" customHeight="1" thickBot="1">
      <c r="A8" s="550" t="s">
        <v>1</v>
      </c>
      <c r="B8" s="551"/>
      <c r="C8" s="551"/>
      <c r="D8" s="551"/>
      <c r="E8" s="551"/>
      <c r="F8" s="551"/>
      <c r="G8" s="551"/>
      <c r="H8" s="551"/>
      <c r="I8" s="551"/>
      <c r="J8" s="551"/>
      <c r="K8" s="551"/>
      <c r="L8" s="552"/>
    </row>
    <row r="9" spans="1:13" s="71" customFormat="1" ht="16.5" customHeight="1" thickBot="1">
      <c r="A9" s="550" t="s">
        <v>2</v>
      </c>
      <c r="B9" s="551"/>
      <c r="C9" s="551"/>
      <c r="D9" s="551"/>
      <c r="E9" s="551"/>
      <c r="F9" s="551"/>
      <c r="G9" s="551"/>
      <c r="H9" s="551"/>
      <c r="I9" s="552"/>
      <c r="J9" s="550" t="s">
        <v>13</v>
      </c>
      <c r="K9" s="551"/>
      <c r="L9" s="552"/>
    </row>
    <row r="10" spans="1:13" s="71" customFormat="1" ht="15.75" customHeight="1">
      <c r="A10" s="576" t="str">
        <f>+TOTAL!B12</f>
        <v>Ingeniería Financiera</v>
      </c>
      <c r="B10" s="577"/>
      <c r="C10" s="577"/>
      <c r="D10" s="577"/>
      <c r="E10" s="577"/>
      <c r="F10" s="577"/>
      <c r="G10" s="577"/>
      <c r="H10" s="577"/>
      <c r="I10" s="578"/>
      <c r="J10" s="576" t="str">
        <f>+TOTAL!E12</f>
        <v>05010107</v>
      </c>
      <c r="K10" s="577"/>
      <c r="L10" s="578"/>
    </row>
    <row r="11" spans="1:13" s="71" customFormat="1" ht="15.75" customHeight="1" thickBot="1">
      <c r="A11" s="579"/>
      <c r="B11" s="580"/>
      <c r="C11" s="580"/>
      <c r="D11" s="580"/>
      <c r="E11" s="580"/>
      <c r="F11" s="580"/>
      <c r="G11" s="580"/>
      <c r="H11" s="580"/>
      <c r="I11" s="581"/>
      <c r="J11" s="579"/>
      <c r="K11" s="580"/>
      <c r="L11" s="581"/>
    </row>
    <row r="12" spans="1:13" s="71" customFormat="1" ht="14.25" customHeight="1" thickBot="1">
      <c r="A12" s="72"/>
      <c r="B12" s="456">
        <v>0.05</v>
      </c>
      <c r="C12" s="73"/>
      <c r="D12" s="74"/>
      <c r="E12" s="74"/>
      <c r="F12" s="75"/>
      <c r="G12" s="75"/>
      <c r="H12" s="75"/>
      <c r="I12" s="75"/>
      <c r="J12" s="75"/>
      <c r="K12" s="75"/>
      <c r="L12" s="76"/>
    </row>
    <row r="13" spans="1:13" ht="35.25" customHeight="1" thickBot="1">
      <c r="A13" s="562" t="s">
        <v>81</v>
      </c>
      <c r="B13" s="563"/>
      <c r="C13" s="563"/>
      <c r="D13" s="563"/>
      <c r="E13" s="563"/>
      <c r="F13" s="563"/>
      <c r="G13" s="563"/>
      <c r="H13" s="563"/>
      <c r="I13" s="563"/>
      <c r="J13" s="563"/>
      <c r="K13" s="563"/>
      <c r="L13" s="564"/>
    </row>
    <row r="14" spans="1:13" ht="31.5" customHeight="1">
      <c r="A14" s="529" t="s">
        <v>79</v>
      </c>
      <c r="B14" s="531" t="s">
        <v>80</v>
      </c>
      <c r="C14" s="531"/>
      <c r="D14" s="531"/>
      <c r="E14" s="531" t="s">
        <v>78</v>
      </c>
      <c r="F14" s="531"/>
      <c r="G14" s="531"/>
      <c r="H14" s="531" t="s">
        <v>84</v>
      </c>
      <c r="I14" s="531"/>
      <c r="J14" s="539" t="s">
        <v>90</v>
      </c>
      <c r="K14" s="553"/>
      <c r="L14" s="554"/>
    </row>
    <row r="15" spans="1:13" s="81" customFormat="1" ht="16.5" customHeight="1" thickBot="1">
      <c r="A15" s="530"/>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15</v>
      </c>
      <c r="C16" s="83">
        <v>9</v>
      </c>
      <c r="D16" s="83">
        <f>+B16+C16</f>
        <v>24</v>
      </c>
      <c r="E16" s="472">
        <v>25</v>
      </c>
      <c r="F16" s="472">
        <v>15</v>
      </c>
      <c r="G16" s="83">
        <f>+E16+F16</f>
        <v>40</v>
      </c>
      <c r="H16" s="83">
        <v>4421000</v>
      </c>
      <c r="I16" s="83">
        <v>4421000</v>
      </c>
      <c r="J16" s="84">
        <f>+E16*H16</f>
        <v>110525000</v>
      </c>
      <c r="K16" s="85">
        <f>+F16*I16</f>
        <v>66315000</v>
      </c>
      <c r="L16" s="86">
        <f>+J16+K16</f>
        <v>176840000</v>
      </c>
    </row>
    <row r="17" spans="1:12">
      <c r="A17" s="87" t="s">
        <v>22</v>
      </c>
      <c r="B17" s="83">
        <v>8</v>
      </c>
      <c r="C17" s="83">
        <v>14</v>
      </c>
      <c r="D17" s="83">
        <f t="shared" ref="D17:D25" si="0">+B17+C17</f>
        <v>22</v>
      </c>
      <c r="E17" s="89">
        <f>+C16-ROUND(C16*$B$12,0)</f>
        <v>9</v>
      </c>
      <c r="F17" s="89">
        <f>+E16-ROUND(E16*$B$12,0)</f>
        <v>24</v>
      </c>
      <c r="G17" s="83">
        <f t="shared" ref="G17:G25" si="1">+E17+F17</f>
        <v>33</v>
      </c>
      <c r="H17" s="83">
        <v>4421000</v>
      </c>
      <c r="I17" s="83">
        <v>4421000</v>
      </c>
      <c r="J17" s="84">
        <f t="shared" ref="J17:K25" si="2">+E17*H17</f>
        <v>39789000</v>
      </c>
      <c r="K17" s="83">
        <f t="shared" si="2"/>
        <v>106104000</v>
      </c>
      <c r="L17" s="86">
        <f t="shared" ref="L17:L25" si="3">+J17+K17</f>
        <v>145893000</v>
      </c>
    </row>
    <row r="18" spans="1:12">
      <c r="A18" s="87" t="s">
        <v>23</v>
      </c>
      <c r="B18" s="83">
        <v>21</v>
      </c>
      <c r="C18" s="83">
        <v>6</v>
      </c>
      <c r="D18" s="83">
        <f t="shared" si="0"/>
        <v>27</v>
      </c>
      <c r="E18" s="89">
        <f t="shared" ref="E18:E25" si="4">+C17-ROUND(C17*$B$12,0)</f>
        <v>13</v>
      </c>
      <c r="F18" s="89">
        <f t="shared" ref="F18:F25" si="5">+E17-ROUND(E17*$B$12,0)</f>
        <v>9</v>
      </c>
      <c r="G18" s="83">
        <f t="shared" si="1"/>
        <v>22</v>
      </c>
      <c r="H18" s="83">
        <v>4421000</v>
      </c>
      <c r="I18" s="83">
        <v>4421000</v>
      </c>
      <c r="J18" s="84">
        <f t="shared" si="2"/>
        <v>57473000</v>
      </c>
      <c r="K18" s="83">
        <f t="shared" si="2"/>
        <v>39789000</v>
      </c>
      <c r="L18" s="86">
        <f t="shared" si="3"/>
        <v>97262000</v>
      </c>
    </row>
    <row r="19" spans="1:12">
      <c r="A19" s="87" t="s">
        <v>24</v>
      </c>
      <c r="B19" s="83">
        <v>4</v>
      </c>
      <c r="C19" s="83">
        <v>22</v>
      </c>
      <c r="D19" s="83">
        <f t="shared" si="0"/>
        <v>26</v>
      </c>
      <c r="E19" s="89">
        <f>+C18-ROUND(C18*$B$12,0)</f>
        <v>6</v>
      </c>
      <c r="F19" s="89">
        <f t="shared" si="5"/>
        <v>12</v>
      </c>
      <c r="G19" s="83">
        <f t="shared" si="1"/>
        <v>18</v>
      </c>
      <c r="H19" s="83">
        <v>4421000</v>
      </c>
      <c r="I19" s="83">
        <v>4421000</v>
      </c>
      <c r="J19" s="84">
        <f t="shared" si="2"/>
        <v>26526000</v>
      </c>
      <c r="K19" s="83">
        <f t="shared" si="2"/>
        <v>53052000</v>
      </c>
      <c r="L19" s="86">
        <f t="shared" si="3"/>
        <v>79578000</v>
      </c>
    </row>
    <row r="20" spans="1:12">
      <c r="A20" s="87" t="s">
        <v>25</v>
      </c>
      <c r="B20" s="83">
        <v>12</v>
      </c>
      <c r="C20" s="83">
        <v>3</v>
      </c>
      <c r="D20" s="83">
        <f t="shared" si="0"/>
        <v>15</v>
      </c>
      <c r="E20" s="89">
        <f t="shared" si="4"/>
        <v>21</v>
      </c>
      <c r="F20" s="89">
        <f t="shared" si="5"/>
        <v>6</v>
      </c>
      <c r="G20" s="83">
        <f t="shared" si="1"/>
        <v>27</v>
      </c>
      <c r="H20" s="83">
        <v>4421000</v>
      </c>
      <c r="I20" s="83">
        <v>4421000</v>
      </c>
      <c r="J20" s="84">
        <f t="shared" si="2"/>
        <v>92841000</v>
      </c>
      <c r="K20" s="83">
        <f t="shared" si="2"/>
        <v>26526000</v>
      </c>
      <c r="L20" s="86">
        <f t="shared" si="3"/>
        <v>119367000</v>
      </c>
    </row>
    <row r="21" spans="1:12">
      <c r="A21" s="87" t="s">
        <v>26</v>
      </c>
      <c r="B21" s="83">
        <v>3</v>
      </c>
      <c r="C21" s="83">
        <v>15</v>
      </c>
      <c r="D21" s="83">
        <f t="shared" si="0"/>
        <v>18</v>
      </c>
      <c r="E21" s="89">
        <f t="shared" si="4"/>
        <v>3</v>
      </c>
      <c r="F21" s="89">
        <f t="shared" si="5"/>
        <v>20</v>
      </c>
      <c r="G21" s="83">
        <f t="shared" si="1"/>
        <v>23</v>
      </c>
      <c r="H21" s="83">
        <v>4421000</v>
      </c>
      <c r="I21" s="83">
        <v>4421000</v>
      </c>
      <c r="J21" s="84">
        <f t="shared" si="2"/>
        <v>13263000</v>
      </c>
      <c r="K21" s="83">
        <f t="shared" si="2"/>
        <v>88420000</v>
      </c>
      <c r="L21" s="86">
        <f t="shared" si="3"/>
        <v>101683000</v>
      </c>
    </row>
    <row r="22" spans="1:12">
      <c r="A22" s="87" t="s">
        <v>32</v>
      </c>
      <c r="B22" s="83">
        <v>19</v>
      </c>
      <c r="C22" s="83">
        <v>5</v>
      </c>
      <c r="D22" s="83">
        <f t="shared" si="0"/>
        <v>24</v>
      </c>
      <c r="E22" s="89">
        <f t="shared" si="4"/>
        <v>14</v>
      </c>
      <c r="F22" s="89">
        <f t="shared" si="5"/>
        <v>3</v>
      </c>
      <c r="G22" s="83">
        <f t="shared" si="1"/>
        <v>17</v>
      </c>
      <c r="H22" s="83">
        <v>4421000</v>
      </c>
      <c r="I22" s="83">
        <v>4421000</v>
      </c>
      <c r="J22" s="84">
        <f t="shared" si="2"/>
        <v>61894000</v>
      </c>
      <c r="K22" s="83">
        <f t="shared" si="2"/>
        <v>13263000</v>
      </c>
      <c r="L22" s="86">
        <f t="shared" si="3"/>
        <v>75157000</v>
      </c>
    </row>
    <row r="23" spans="1:12">
      <c r="A23" s="87" t="s">
        <v>28</v>
      </c>
      <c r="B23" s="83">
        <v>6</v>
      </c>
      <c r="C23" s="83">
        <v>19</v>
      </c>
      <c r="D23" s="83">
        <f t="shared" si="0"/>
        <v>25</v>
      </c>
      <c r="E23" s="89">
        <f t="shared" si="4"/>
        <v>5</v>
      </c>
      <c r="F23" s="89">
        <f t="shared" si="5"/>
        <v>13</v>
      </c>
      <c r="G23" s="83">
        <f t="shared" si="1"/>
        <v>18</v>
      </c>
      <c r="H23" s="83">
        <v>4343000</v>
      </c>
      <c r="I23" s="83">
        <v>4421000</v>
      </c>
      <c r="J23" s="84">
        <f t="shared" si="2"/>
        <v>21715000</v>
      </c>
      <c r="K23" s="83">
        <f t="shared" si="2"/>
        <v>57473000</v>
      </c>
      <c r="L23" s="86">
        <f t="shared" si="3"/>
        <v>79188000</v>
      </c>
    </row>
    <row r="24" spans="1:12">
      <c r="A24" s="87" t="s">
        <v>29</v>
      </c>
      <c r="B24" s="83">
        <v>19</v>
      </c>
      <c r="C24" s="83">
        <v>7</v>
      </c>
      <c r="D24" s="83">
        <f t="shared" si="0"/>
        <v>26</v>
      </c>
      <c r="E24" s="89">
        <f t="shared" si="4"/>
        <v>18</v>
      </c>
      <c r="F24" s="89">
        <f t="shared" si="5"/>
        <v>5</v>
      </c>
      <c r="G24" s="83">
        <f t="shared" si="1"/>
        <v>23</v>
      </c>
      <c r="H24" s="83">
        <v>4343000</v>
      </c>
      <c r="I24" s="83">
        <v>4343000</v>
      </c>
      <c r="J24" s="84">
        <f t="shared" si="2"/>
        <v>78174000</v>
      </c>
      <c r="K24" s="83">
        <f t="shared" si="2"/>
        <v>21715000</v>
      </c>
      <c r="L24" s="86">
        <f t="shared" si="3"/>
        <v>99889000</v>
      </c>
    </row>
    <row r="25" spans="1:12">
      <c r="A25" s="87" t="s">
        <v>33</v>
      </c>
      <c r="B25" s="83">
        <v>10</v>
      </c>
      <c r="C25" s="83">
        <v>15</v>
      </c>
      <c r="D25" s="83">
        <f t="shared" si="0"/>
        <v>25</v>
      </c>
      <c r="E25" s="89">
        <f t="shared" si="4"/>
        <v>7</v>
      </c>
      <c r="F25" s="89">
        <f t="shared" si="5"/>
        <v>17</v>
      </c>
      <c r="G25" s="83">
        <f t="shared" si="1"/>
        <v>24</v>
      </c>
      <c r="H25" s="83">
        <v>4343000</v>
      </c>
      <c r="I25" s="83">
        <v>4343000</v>
      </c>
      <c r="J25" s="84">
        <f t="shared" si="2"/>
        <v>30401000</v>
      </c>
      <c r="K25" s="83">
        <f t="shared" si="2"/>
        <v>73831000</v>
      </c>
      <c r="L25" s="86">
        <f t="shared" si="3"/>
        <v>104232000</v>
      </c>
    </row>
    <row r="26" spans="1:12" ht="13.5" thickBot="1">
      <c r="A26" s="90" t="s">
        <v>31</v>
      </c>
      <c r="B26" s="91"/>
      <c r="C26" s="91"/>
      <c r="D26" s="92"/>
      <c r="E26" s="91"/>
      <c r="F26" s="91"/>
      <c r="G26" s="92"/>
      <c r="H26" s="92"/>
      <c r="I26" s="91"/>
      <c r="J26" s="84"/>
      <c r="K26" s="455"/>
      <c r="L26" s="86"/>
    </row>
    <row r="27" spans="1:12" ht="13.5" thickBot="1">
      <c r="A27" s="93" t="s">
        <v>125</v>
      </c>
      <c r="B27" s="453">
        <f>+SUM(B16:B26)</f>
        <v>117</v>
      </c>
      <c r="C27" s="453">
        <f t="shared" ref="C27:G27" si="6">+SUM(C16:C26)</f>
        <v>115</v>
      </c>
      <c r="D27" s="453">
        <f t="shared" si="6"/>
        <v>232</v>
      </c>
      <c r="E27" s="453">
        <f t="shared" si="6"/>
        <v>121</v>
      </c>
      <c r="F27" s="453">
        <f t="shared" si="6"/>
        <v>124</v>
      </c>
      <c r="G27" s="453">
        <f t="shared" si="6"/>
        <v>245</v>
      </c>
      <c r="H27" s="94"/>
      <c r="I27" s="94"/>
      <c r="J27" s="94"/>
      <c r="K27" s="94"/>
      <c r="L27" s="96">
        <f>SUM(L16:L26)</f>
        <v>1079089000</v>
      </c>
    </row>
    <row r="28" spans="1:12" ht="15.75" customHeight="1" thickBot="1">
      <c r="A28" s="93" t="s">
        <v>126</v>
      </c>
      <c r="B28" s="94"/>
      <c r="C28" s="95"/>
      <c r="D28" s="94"/>
      <c r="E28" s="94"/>
      <c r="F28" s="94"/>
      <c r="G28" s="454">
        <f>+(G27-D27)/D27</f>
        <v>5.6034482758620691E-2</v>
      </c>
      <c r="H28" s="94"/>
      <c r="I28" s="94"/>
      <c r="J28" s="94"/>
      <c r="K28" s="94"/>
      <c r="L28" s="96">
        <v>6000000</v>
      </c>
    </row>
    <row r="29" spans="1:12" ht="16.5" customHeight="1" thickBot="1">
      <c r="A29" s="97" t="s">
        <v>125</v>
      </c>
      <c r="B29" s="98"/>
      <c r="C29" s="99"/>
      <c r="D29" s="98"/>
      <c r="E29" s="98"/>
      <c r="F29" s="98"/>
      <c r="G29" s="98"/>
      <c r="H29" s="98"/>
      <c r="I29" s="98"/>
      <c r="J29" s="98"/>
      <c r="K29" s="98"/>
      <c r="L29" s="100">
        <f>+L27+L28</f>
        <v>1085089000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562" t="s">
        <v>82</v>
      </c>
      <c r="B32" s="563"/>
      <c r="C32" s="563"/>
      <c r="D32" s="563"/>
      <c r="E32" s="563"/>
      <c r="F32" s="563"/>
      <c r="G32" s="563"/>
      <c r="H32" s="563"/>
      <c r="I32" s="563"/>
      <c r="J32" s="563"/>
      <c r="K32" s="563"/>
      <c r="L32" s="564"/>
    </row>
    <row r="33" spans="1:12" ht="16.5" hidden="1" customHeight="1">
      <c r="A33" s="547" t="s">
        <v>97</v>
      </c>
      <c r="B33" s="537" t="s">
        <v>17</v>
      </c>
      <c r="C33" s="537"/>
      <c r="D33" s="537"/>
      <c r="E33" s="539" t="s">
        <v>34</v>
      </c>
      <c r="F33" s="540"/>
      <c r="G33" s="540"/>
      <c r="H33" s="541"/>
      <c r="I33" s="537" t="s">
        <v>85</v>
      </c>
      <c r="J33" s="565" t="s">
        <v>87</v>
      </c>
      <c r="K33" s="565" t="s">
        <v>89</v>
      </c>
      <c r="L33" s="572" t="s">
        <v>83</v>
      </c>
    </row>
    <row r="34" spans="1:12" ht="45.75" hidden="1" customHeight="1" thickBot="1">
      <c r="A34" s="530"/>
      <c r="B34" s="78" t="s">
        <v>248</v>
      </c>
      <c r="C34" s="78" t="s">
        <v>249</v>
      </c>
      <c r="D34" s="78" t="s">
        <v>91</v>
      </c>
      <c r="E34" s="78" t="s">
        <v>248</v>
      </c>
      <c r="F34" s="78" t="s">
        <v>249</v>
      </c>
      <c r="G34" s="78" t="s">
        <v>250</v>
      </c>
      <c r="H34" s="78" t="s">
        <v>86</v>
      </c>
      <c r="I34" s="536"/>
      <c r="J34" s="566"/>
      <c r="K34" s="566"/>
      <c r="L34" s="573"/>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4">
        <f>SUM(B35:B48)</f>
        <v>0</v>
      </c>
      <c r="C49" s="284">
        <f t="shared" ref="C49:L49" si="7">SUM(C35:C48)</f>
        <v>0</v>
      </c>
      <c r="D49" s="284">
        <f t="shared" si="7"/>
        <v>0</v>
      </c>
      <c r="E49" s="284">
        <f t="shared" si="7"/>
        <v>0</v>
      </c>
      <c r="F49" s="284">
        <f t="shared" si="7"/>
        <v>0</v>
      </c>
      <c r="G49" s="284">
        <f t="shared" si="7"/>
        <v>0</v>
      </c>
      <c r="H49" s="284">
        <f t="shared" si="7"/>
        <v>0</v>
      </c>
      <c r="I49" s="284">
        <f t="shared" si="7"/>
        <v>0</v>
      </c>
      <c r="J49" s="284">
        <f t="shared" si="7"/>
        <v>0</v>
      </c>
      <c r="K49" s="284">
        <f t="shared" si="7"/>
        <v>0</v>
      </c>
      <c r="L49" s="285">
        <f t="shared" si="7"/>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524" t="s">
        <v>92</v>
      </c>
      <c r="B52" s="525"/>
      <c r="C52" s="525"/>
      <c r="D52" s="525"/>
      <c r="E52" s="525"/>
      <c r="F52" s="525"/>
      <c r="G52" s="525"/>
      <c r="H52" s="525"/>
      <c r="I52" s="525"/>
      <c r="J52" s="525"/>
      <c r="K52" s="525"/>
      <c r="L52" s="526"/>
    </row>
    <row r="53" spans="1:12" ht="15.75" customHeight="1">
      <c r="A53" s="567" t="s">
        <v>96</v>
      </c>
      <c r="B53" s="568"/>
      <c r="C53" s="539" t="s">
        <v>104</v>
      </c>
      <c r="D53" s="540"/>
      <c r="E53" s="541"/>
      <c r="F53" s="539" t="s">
        <v>105</v>
      </c>
      <c r="G53" s="540"/>
      <c r="H53" s="541"/>
      <c r="I53" s="539" t="s">
        <v>106</v>
      </c>
      <c r="J53" s="540"/>
      <c r="K53" s="541"/>
      <c r="L53" s="572" t="s">
        <v>108</v>
      </c>
    </row>
    <row r="54" spans="1:12" ht="34.5" customHeight="1" thickBot="1">
      <c r="A54" s="569"/>
      <c r="B54" s="571"/>
      <c r="C54" s="79" t="s">
        <v>98</v>
      </c>
      <c r="D54" s="79" t="s">
        <v>100</v>
      </c>
      <c r="E54" s="79" t="s">
        <v>101</v>
      </c>
      <c r="F54" s="79" t="s">
        <v>99</v>
      </c>
      <c r="G54" s="79" t="s">
        <v>102</v>
      </c>
      <c r="H54" s="79" t="s">
        <v>103</v>
      </c>
      <c r="I54" s="79" t="s">
        <v>99</v>
      </c>
      <c r="J54" s="79" t="s">
        <v>102</v>
      </c>
      <c r="K54" s="79" t="s">
        <v>103</v>
      </c>
      <c r="L54" s="573"/>
    </row>
    <row r="55" spans="1:12">
      <c r="A55" s="112"/>
      <c r="B55" s="113"/>
      <c r="C55" s="113"/>
      <c r="D55" s="113"/>
      <c r="E55" s="113"/>
      <c r="F55" s="113"/>
      <c r="G55" s="113"/>
      <c r="H55" s="113"/>
      <c r="I55" s="113"/>
      <c r="J55" s="113"/>
      <c r="K55" s="113"/>
      <c r="L55" s="114"/>
    </row>
    <row r="56" spans="1:12">
      <c r="A56" s="115" t="s">
        <v>35</v>
      </c>
      <c r="B56" s="116"/>
      <c r="C56" s="117"/>
      <c r="D56" s="118">
        <f>+MROUND(AVERAGE($H$16:$I$25),1000)</f>
        <v>4402000</v>
      </c>
      <c r="E56" s="459">
        <f>+D56*C56</f>
        <v>0</v>
      </c>
      <c r="F56" s="120"/>
      <c r="G56" s="118"/>
      <c r="H56" s="119"/>
      <c r="I56" s="120"/>
      <c r="J56" s="120"/>
      <c r="K56" s="119"/>
      <c r="L56" s="121">
        <f>+E56</f>
        <v>0</v>
      </c>
    </row>
    <row r="57" spans="1:12">
      <c r="A57" s="115" t="s">
        <v>36</v>
      </c>
      <c r="B57" s="116"/>
      <c r="C57" s="117"/>
      <c r="D57" s="118">
        <f t="shared" ref="D57:D66" si="8">+MROUND(AVERAGE($H$16:$I$25),1000)</f>
        <v>4402000</v>
      </c>
      <c r="E57" s="459">
        <f t="shared" ref="E57:E63" si="9">+D57*C57</f>
        <v>0</v>
      </c>
      <c r="F57" s="120"/>
      <c r="G57" s="118"/>
      <c r="H57" s="119"/>
      <c r="I57" s="120"/>
      <c r="J57" s="120"/>
      <c r="K57" s="119"/>
      <c r="L57" s="121">
        <f t="shared" ref="L57:L63" si="10">+E57</f>
        <v>0</v>
      </c>
    </row>
    <row r="58" spans="1:12">
      <c r="A58" s="115" t="s">
        <v>37</v>
      </c>
      <c r="B58" s="116"/>
      <c r="C58" s="117"/>
      <c r="D58" s="118">
        <f t="shared" si="8"/>
        <v>4402000</v>
      </c>
      <c r="E58" s="459">
        <f t="shared" si="9"/>
        <v>0</v>
      </c>
      <c r="F58" s="120"/>
      <c r="G58" s="118"/>
      <c r="H58" s="119"/>
      <c r="I58" s="120"/>
      <c r="J58" s="120"/>
      <c r="K58" s="119"/>
      <c r="L58" s="121">
        <f t="shared" si="10"/>
        <v>0</v>
      </c>
    </row>
    <row r="59" spans="1:12">
      <c r="A59" s="115" t="s">
        <v>38</v>
      </c>
      <c r="B59" s="116"/>
      <c r="C59" s="117">
        <v>0.5</v>
      </c>
      <c r="D59" s="118">
        <f t="shared" si="8"/>
        <v>4402000</v>
      </c>
      <c r="E59" s="459">
        <f t="shared" si="9"/>
        <v>2201000</v>
      </c>
      <c r="F59" s="120"/>
      <c r="G59" s="118"/>
      <c r="H59" s="119"/>
      <c r="I59" s="120"/>
      <c r="J59" s="120"/>
      <c r="K59" s="119"/>
      <c r="L59" s="121">
        <f t="shared" si="10"/>
        <v>2201000</v>
      </c>
    </row>
    <row r="60" spans="1:12">
      <c r="A60" s="115" t="s">
        <v>39</v>
      </c>
      <c r="B60" s="116"/>
      <c r="C60" s="117">
        <v>3.5</v>
      </c>
      <c r="D60" s="118">
        <f t="shared" si="8"/>
        <v>4402000</v>
      </c>
      <c r="E60" s="459">
        <f t="shared" si="9"/>
        <v>15407000</v>
      </c>
      <c r="F60" s="120"/>
      <c r="G60" s="118"/>
      <c r="H60" s="119"/>
      <c r="I60" s="120"/>
      <c r="J60" s="120"/>
      <c r="K60" s="119"/>
      <c r="L60" s="121">
        <f t="shared" si="10"/>
        <v>15407000</v>
      </c>
    </row>
    <row r="61" spans="1:12">
      <c r="A61" s="115" t="s">
        <v>40</v>
      </c>
      <c r="B61" s="116"/>
      <c r="C61" s="117">
        <v>6.5</v>
      </c>
      <c r="D61" s="118">
        <f t="shared" si="8"/>
        <v>4402000</v>
      </c>
      <c r="E61" s="459">
        <f t="shared" si="9"/>
        <v>28613000</v>
      </c>
      <c r="F61" s="120"/>
      <c r="G61" s="118"/>
      <c r="H61" s="119"/>
      <c r="I61" s="120"/>
      <c r="J61" s="120"/>
      <c r="K61" s="119"/>
      <c r="L61" s="121">
        <f t="shared" si="10"/>
        <v>28613000</v>
      </c>
    </row>
    <row r="62" spans="1:12">
      <c r="A62" s="115" t="s">
        <v>41</v>
      </c>
      <c r="B62" s="116"/>
      <c r="C62" s="117"/>
      <c r="D62" s="118">
        <f t="shared" si="8"/>
        <v>4402000</v>
      </c>
      <c r="E62" s="459">
        <f t="shared" si="9"/>
        <v>0</v>
      </c>
      <c r="F62" s="120"/>
      <c r="G62" s="118"/>
      <c r="H62" s="119"/>
      <c r="I62" s="120"/>
      <c r="J62" s="120"/>
      <c r="K62" s="119"/>
      <c r="L62" s="121">
        <f t="shared" si="10"/>
        <v>0</v>
      </c>
    </row>
    <row r="63" spans="1:12">
      <c r="A63" s="115" t="s">
        <v>42</v>
      </c>
      <c r="B63" s="116"/>
      <c r="C63" s="117"/>
      <c r="D63" s="118">
        <f t="shared" si="8"/>
        <v>4402000</v>
      </c>
      <c r="E63" s="459">
        <f t="shared" si="9"/>
        <v>0</v>
      </c>
      <c r="F63" s="120"/>
      <c r="G63" s="118"/>
      <c r="H63" s="119"/>
      <c r="I63" s="120"/>
      <c r="J63" s="120"/>
      <c r="K63" s="119"/>
      <c r="L63" s="121">
        <f t="shared" si="10"/>
        <v>0</v>
      </c>
    </row>
    <row r="64" spans="1:12">
      <c r="A64" s="115" t="s">
        <v>41</v>
      </c>
      <c r="B64" s="116"/>
      <c r="C64" s="117"/>
      <c r="D64" s="118">
        <f t="shared" si="8"/>
        <v>4402000</v>
      </c>
      <c r="E64" s="459">
        <f t="shared" ref="E64:E66" si="11">+D64*C64</f>
        <v>0</v>
      </c>
      <c r="F64" s="120"/>
      <c r="G64" s="118"/>
      <c r="H64" s="119"/>
      <c r="I64" s="120"/>
      <c r="J64" s="120"/>
      <c r="K64" s="119"/>
      <c r="L64" s="121">
        <f t="shared" ref="L64:L66" si="12">+E64</f>
        <v>0</v>
      </c>
    </row>
    <row r="65" spans="1:12">
      <c r="A65" s="115" t="s">
        <v>1360</v>
      </c>
      <c r="B65" s="116"/>
      <c r="C65" s="117">
        <v>0.5</v>
      </c>
      <c r="D65" s="118">
        <f t="shared" si="8"/>
        <v>4402000</v>
      </c>
      <c r="E65" s="459">
        <f t="shared" si="11"/>
        <v>2201000</v>
      </c>
      <c r="F65" s="120"/>
      <c r="G65" s="118"/>
      <c r="H65" s="119"/>
      <c r="I65" s="120"/>
      <c r="J65" s="120"/>
      <c r="K65" s="119"/>
      <c r="L65" s="121">
        <f t="shared" si="12"/>
        <v>2201000</v>
      </c>
    </row>
    <row r="66" spans="1:12" ht="13.5" thickBot="1">
      <c r="A66" s="115" t="s">
        <v>1361</v>
      </c>
      <c r="B66" s="116"/>
      <c r="C66" s="117"/>
      <c r="D66" s="118">
        <f t="shared" si="8"/>
        <v>4402000</v>
      </c>
      <c r="E66" s="459">
        <f t="shared" si="11"/>
        <v>0</v>
      </c>
      <c r="F66" s="120"/>
      <c r="G66" s="118"/>
      <c r="H66" s="119"/>
      <c r="I66" s="120"/>
      <c r="J66" s="120"/>
      <c r="K66" s="119"/>
      <c r="L66" s="121">
        <f t="shared" si="12"/>
        <v>0</v>
      </c>
    </row>
    <row r="67" spans="1:12" ht="16.5" customHeight="1" thickBot="1">
      <c r="A67" s="527" t="s">
        <v>93</v>
      </c>
      <c r="B67" s="528"/>
      <c r="C67" s="94"/>
      <c r="D67" s="94"/>
      <c r="E67" s="94"/>
      <c r="F67" s="94"/>
      <c r="G67" s="94"/>
      <c r="H67" s="94"/>
      <c r="I67" s="94"/>
      <c r="J67" s="94"/>
      <c r="K67" s="122"/>
      <c r="L67" s="96">
        <f>SUM(L56:L66)</f>
        <v>48422000</v>
      </c>
    </row>
    <row r="68" spans="1:12">
      <c r="A68" s="123" t="s">
        <v>43</v>
      </c>
      <c r="B68" s="124"/>
      <c r="C68" s="125"/>
      <c r="D68" s="125"/>
      <c r="E68" s="126"/>
      <c r="F68" s="127"/>
      <c r="G68" s="125">
        <f>+MROUND($D$56*0.1,1000)</f>
        <v>440000</v>
      </c>
      <c r="H68" s="459">
        <f>+G68*F68</f>
        <v>0</v>
      </c>
      <c r="I68" s="127"/>
      <c r="J68" s="127"/>
      <c r="K68" s="126"/>
      <c r="L68" s="128">
        <f>+H68</f>
        <v>0</v>
      </c>
    </row>
    <row r="69" spans="1:12">
      <c r="A69" s="129" t="s">
        <v>44</v>
      </c>
      <c r="B69" s="130"/>
      <c r="C69" s="118"/>
      <c r="D69" s="118"/>
      <c r="E69" s="119"/>
      <c r="F69" s="120"/>
      <c r="G69" s="125">
        <f t="shared" ref="G69:G78" si="13">+MROUND($D$56*0.1,1000)</f>
        <v>440000</v>
      </c>
      <c r="H69" s="459">
        <f t="shared" ref="H69:H76" si="14">+G69*F69</f>
        <v>0</v>
      </c>
      <c r="I69" s="120"/>
      <c r="J69" s="120"/>
      <c r="K69" s="119"/>
      <c r="L69" s="121">
        <f t="shared" ref="L69:L76" si="15">+H69</f>
        <v>0</v>
      </c>
    </row>
    <row r="70" spans="1:12">
      <c r="A70" s="129" t="s">
        <v>45</v>
      </c>
      <c r="B70" s="130"/>
      <c r="C70" s="118"/>
      <c r="D70" s="118"/>
      <c r="E70" s="119"/>
      <c r="F70" s="120"/>
      <c r="G70" s="125">
        <f t="shared" si="13"/>
        <v>440000</v>
      </c>
      <c r="H70" s="459">
        <f t="shared" si="14"/>
        <v>0</v>
      </c>
      <c r="I70" s="120"/>
      <c r="J70" s="120"/>
      <c r="K70" s="119"/>
      <c r="L70" s="121">
        <f t="shared" si="15"/>
        <v>0</v>
      </c>
    </row>
    <row r="71" spans="1:12">
      <c r="A71" s="129" t="s">
        <v>46</v>
      </c>
      <c r="B71" s="130"/>
      <c r="C71" s="118"/>
      <c r="D71" s="118"/>
      <c r="E71" s="119"/>
      <c r="F71" s="120">
        <v>5</v>
      </c>
      <c r="G71" s="125">
        <f t="shared" si="13"/>
        <v>440000</v>
      </c>
      <c r="H71" s="459">
        <f t="shared" si="14"/>
        <v>2200000</v>
      </c>
      <c r="I71" s="120"/>
      <c r="J71" s="120"/>
      <c r="K71" s="119"/>
      <c r="L71" s="121">
        <f t="shared" si="15"/>
        <v>2200000</v>
      </c>
    </row>
    <row r="72" spans="1:12" s="131" customFormat="1">
      <c r="A72" s="129" t="s">
        <v>47</v>
      </c>
      <c r="B72" s="130"/>
      <c r="C72" s="118"/>
      <c r="D72" s="118"/>
      <c r="E72" s="119"/>
      <c r="F72" s="120">
        <v>4</v>
      </c>
      <c r="G72" s="125">
        <f t="shared" si="13"/>
        <v>440000</v>
      </c>
      <c r="H72" s="459">
        <f t="shared" si="14"/>
        <v>1760000</v>
      </c>
      <c r="I72" s="120"/>
      <c r="J72" s="120"/>
      <c r="K72" s="119"/>
      <c r="L72" s="121">
        <f t="shared" si="15"/>
        <v>1760000</v>
      </c>
    </row>
    <row r="73" spans="1:12">
      <c r="A73" s="129" t="s">
        <v>48</v>
      </c>
      <c r="B73" s="130"/>
      <c r="C73" s="118"/>
      <c r="D73" s="118"/>
      <c r="E73" s="119"/>
      <c r="F73" s="120"/>
      <c r="G73" s="125">
        <f t="shared" si="13"/>
        <v>440000</v>
      </c>
      <c r="H73" s="459">
        <f t="shared" si="14"/>
        <v>0</v>
      </c>
      <c r="I73" s="120"/>
      <c r="J73" s="120"/>
      <c r="K73" s="119"/>
      <c r="L73" s="121">
        <f t="shared" si="15"/>
        <v>0</v>
      </c>
    </row>
    <row r="74" spans="1:12">
      <c r="A74" s="129" t="s">
        <v>49</v>
      </c>
      <c r="B74" s="130"/>
      <c r="C74" s="118"/>
      <c r="D74" s="118"/>
      <c r="E74" s="119"/>
      <c r="F74" s="120"/>
      <c r="G74" s="125">
        <f t="shared" si="13"/>
        <v>440000</v>
      </c>
      <c r="H74" s="459">
        <f t="shared" si="14"/>
        <v>0</v>
      </c>
      <c r="I74" s="120"/>
      <c r="J74" s="120"/>
      <c r="K74" s="119"/>
      <c r="L74" s="121">
        <f t="shared" si="15"/>
        <v>0</v>
      </c>
    </row>
    <row r="75" spans="1:12">
      <c r="A75" s="129" t="s">
        <v>50</v>
      </c>
      <c r="B75" s="130"/>
      <c r="C75" s="118"/>
      <c r="D75" s="118"/>
      <c r="E75" s="119"/>
      <c r="F75" s="120"/>
      <c r="G75" s="125">
        <f t="shared" si="13"/>
        <v>440000</v>
      </c>
      <c r="H75" s="459">
        <f t="shared" si="14"/>
        <v>0</v>
      </c>
      <c r="I75" s="120"/>
      <c r="J75" s="120"/>
      <c r="K75" s="119"/>
      <c r="L75" s="121">
        <f t="shared" si="15"/>
        <v>0</v>
      </c>
    </row>
    <row r="76" spans="1:12">
      <c r="A76" s="129" t="s">
        <v>1362</v>
      </c>
      <c r="B76" s="130"/>
      <c r="C76" s="118"/>
      <c r="D76" s="118"/>
      <c r="E76" s="119"/>
      <c r="F76" s="120"/>
      <c r="G76" s="125">
        <f t="shared" si="13"/>
        <v>440000</v>
      </c>
      <c r="H76" s="460">
        <f t="shared" si="14"/>
        <v>0</v>
      </c>
      <c r="I76" s="120"/>
      <c r="J76" s="120"/>
      <c r="K76" s="119"/>
      <c r="L76" s="121">
        <f t="shared" si="15"/>
        <v>0</v>
      </c>
    </row>
    <row r="77" spans="1:12">
      <c r="A77" s="129" t="s">
        <v>1363</v>
      </c>
      <c r="B77" s="130"/>
      <c r="C77" s="118"/>
      <c r="D77" s="118"/>
      <c r="E77" s="119"/>
      <c r="F77" s="120">
        <v>8</v>
      </c>
      <c r="G77" s="125">
        <f t="shared" si="13"/>
        <v>440000</v>
      </c>
      <c r="H77" s="460">
        <f t="shared" ref="H77:H78" si="16">+G77*F77</f>
        <v>3520000</v>
      </c>
      <c r="I77" s="120"/>
      <c r="J77" s="120"/>
      <c r="K77" s="119"/>
      <c r="L77" s="121">
        <f t="shared" ref="L77:L78" si="17">+H77</f>
        <v>3520000</v>
      </c>
    </row>
    <row r="78" spans="1:12" ht="13.5" thickBot="1">
      <c r="A78" s="129" t="s">
        <v>1364</v>
      </c>
      <c r="B78" s="474"/>
      <c r="C78" s="118"/>
      <c r="D78" s="118"/>
      <c r="E78" s="119"/>
      <c r="F78" s="120">
        <v>4</v>
      </c>
      <c r="G78" s="125">
        <f t="shared" si="13"/>
        <v>440000</v>
      </c>
      <c r="H78" s="460">
        <f t="shared" si="16"/>
        <v>1760000</v>
      </c>
      <c r="I78" s="120"/>
      <c r="J78" s="120"/>
      <c r="K78" s="119"/>
      <c r="L78" s="121">
        <f t="shared" si="17"/>
        <v>1760000</v>
      </c>
    </row>
    <row r="79" spans="1:12" ht="16.5" customHeight="1" thickBot="1">
      <c r="A79" s="527" t="s">
        <v>94</v>
      </c>
      <c r="B79" s="528"/>
      <c r="C79" s="94"/>
      <c r="D79" s="94"/>
      <c r="E79" s="94"/>
      <c r="F79" s="94"/>
      <c r="G79" s="94"/>
      <c r="H79" s="94"/>
      <c r="I79" s="94"/>
      <c r="J79" s="94"/>
      <c r="K79" s="122"/>
      <c r="L79" s="96">
        <f>SUM(L68:L78)</f>
        <v>9240000</v>
      </c>
    </row>
    <row r="80" spans="1:12" ht="16.5" customHeight="1" thickBot="1">
      <c r="A80" s="527" t="s">
        <v>107</v>
      </c>
      <c r="B80" s="528"/>
      <c r="C80" s="94"/>
      <c r="D80" s="94"/>
      <c r="E80" s="94"/>
      <c r="F80" s="94"/>
      <c r="G80" s="94"/>
      <c r="H80" s="94"/>
      <c r="I80" s="94"/>
      <c r="J80" s="94"/>
      <c r="K80" s="122"/>
      <c r="L80" s="96">
        <v>0</v>
      </c>
    </row>
    <row r="81" spans="1:12" ht="16.5" customHeight="1" thickBot="1">
      <c r="A81" s="574" t="s">
        <v>95</v>
      </c>
      <c r="B81" s="575"/>
      <c r="C81" s="98"/>
      <c r="D81" s="98"/>
      <c r="E81" s="98"/>
      <c r="F81" s="98"/>
      <c r="G81" s="98"/>
      <c r="H81" s="98"/>
      <c r="I81" s="98"/>
      <c r="J81" s="98"/>
      <c r="K81" s="132"/>
      <c r="L81" s="100">
        <f>+L67+L79+L80</f>
        <v>57662000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13" t="s">
        <v>271</v>
      </c>
      <c r="B84" s="514"/>
      <c r="C84" s="514"/>
      <c r="D84" s="514"/>
      <c r="E84" s="514"/>
      <c r="F84" s="514"/>
      <c r="G84" s="513" t="s">
        <v>109</v>
      </c>
      <c r="H84" s="514"/>
      <c r="I84" s="514"/>
      <c r="J84" s="514"/>
      <c r="K84" s="514"/>
      <c r="L84" s="515"/>
    </row>
    <row r="85" spans="1:12" ht="15.75" customHeight="1">
      <c r="A85" s="567" t="s">
        <v>96</v>
      </c>
      <c r="B85" s="553"/>
      <c r="C85" s="568"/>
      <c r="D85" s="537" t="s">
        <v>274</v>
      </c>
      <c r="E85" s="537"/>
      <c r="F85" s="538"/>
      <c r="G85" s="529" t="s">
        <v>96</v>
      </c>
      <c r="H85" s="531"/>
      <c r="I85" s="531"/>
      <c r="J85" s="531" t="s">
        <v>275</v>
      </c>
      <c r="K85" s="531"/>
      <c r="L85" s="542"/>
    </row>
    <row r="86" spans="1:12" ht="16.5" customHeight="1" thickBot="1">
      <c r="A86" s="569"/>
      <c r="B86" s="570"/>
      <c r="C86" s="571"/>
      <c r="D86" s="78" t="s">
        <v>52</v>
      </c>
      <c r="E86" s="78" t="s">
        <v>53</v>
      </c>
      <c r="F86" s="137" t="s">
        <v>16</v>
      </c>
      <c r="G86" s="530"/>
      <c r="H86" s="536"/>
      <c r="I86" s="536"/>
      <c r="J86" s="78" t="s">
        <v>52</v>
      </c>
      <c r="K86" s="78" t="s">
        <v>53</v>
      </c>
      <c r="L86" s="137" t="s">
        <v>16</v>
      </c>
    </row>
    <row r="87" spans="1:12" ht="15" customHeight="1">
      <c r="A87" s="138" t="s">
        <v>54</v>
      </c>
      <c r="B87" s="139"/>
      <c r="C87" s="140"/>
      <c r="D87" s="141"/>
      <c r="E87" s="461"/>
      <c r="F87" s="142">
        <f>+D87*E87</f>
        <v>0</v>
      </c>
      <c r="G87" s="543" t="s">
        <v>112</v>
      </c>
      <c r="H87" s="544"/>
      <c r="I87" s="545"/>
      <c r="J87" s="143"/>
      <c r="K87" s="144"/>
      <c r="L87" s="145"/>
    </row>
    <row r="88" spans="1:12" ht="15" customHeight="1">
      <c r="A88" s="146" t="s">
        <v>55</v>
      </c>
      <c r="B88" s="116"/>
      <c r="C88" s="147"/>
      <c r="D88" s="148"/>
      <c r="E88" s="462">
        <v>131000</v>
      </c>
      <c r="F88" s="142">
        <f t="shared" ref="F88:F104" si="18">+D88*E88</f>
        <v>0</v>
      </c>
      <c r="G88" s="532" t="s">
        <v>113</v>
      </c>
      <c r="H88" s="533"/>
      <c r="I88" s="534"/>
      <c r="J88" s="149"/>
      <c r="K88" s="150"/>
      <c r="L88" s="151"/>
    </row>
    <row r="89" spans="1:12">
      <c r="A89" s="146" t="s">
        <v>56</v>
      </c>
      <c r="B89" s="116"/>
      <c r="C89" s="147"/>
      <c r="D89" s="148">
        <v>100</v>
      </c>
      <c r="E89" s="463">
        <v>17000</v>
      </c>
      <c r="F89" s="142">
        <f t="shared" si="18"/>
        <v>1700000</v>
      </c>
      <c r="G89" s="129" t="s">
        <v>114</v>
      </c>
      <c r="H89" s="152"/>
      <c r="I89" s="153"/>
      <c r="J89" s="154"/>
      <c r="K89" s="150"/>
      <c r="L89" s="151"/>
    </row>
    <row r="90" spans="1:12">
      <c r="A90" s="146" t="s">
        <v>57</v>
      </c>
      <c r="B90" s="116"/>
      <c r="C90" s="147"/>
      <c r="D90" s="148">
        <v>20</v>
      </c>
      <c r="E90" s="463">
        <v>29000</v>
      </c>
      <c r="F90" s="142">
        <f t="shared" si="18"/>
        <v>580000</v>
      </c>
      <c r="G90" s="129" t="s">
        <v>115</v>
      </c>
      <c r="H90" s="152"/>
      <c r="I90" s="153"/>
      <c r="J90" s="154"/>
      <c r="K90" s="150"/>
      <c r="L90" s="151"/>
    </row>
    <row r="91" spans="1:12">
      <c r="A91" s="146" t="s">
        <v>58</v>
      </c>
      <c r="B91" s="116"/>
      <c r="C91" s="147"/>
      <c r="D91" s="148"/>
      <c r="E91" s="463">
        <v>0</v>
      </c>
      <c r="F91" s="142">
        <f t="shared" si="18"/>
        <v>0</v>
      </c>
      <c r="G91" s="129" t="s">
        <v>116</v>
      </c>
      <c r="H91" s="152"/>
      <c r="I91" s="153"/>
      <c r="J91" s="154"/>
      <c r="K91" s="150"/>
      <c r="L91" s="151"/>
    </row>
    <row r="92" spans="1:12">
      <c r="A92" s="146" t="s">
        <v>59</v>
      </c>
      <c r="B92" s="116"/>
      <c r="C92" s="147"/>
      <c r="D92" s="148"/>
      <c r="E92" s="463">
        <v>0</v>
      </c>
      <c r="F92" s="142">
        <f t="shared" si="18"/>
        <v>0</v>
      </c>
      <c r="G92" s="129" t="s">
        <v>117</v>
      </c>
      <c r="H92" s="152"/>
      <c r="I92" s="153"/>
      <c r="J92" s="154"/>
      <c r="K92" s="150"/>
      <c r="L92" s="151"/>
    </row>
    <row r="93" spans="1:12">
      <c r="A93" s="146" t="s">
        <v>60</v>
      </c>
      <c r="B93" s="116"/>
      <c r="C93" s="147"/>
      <c r="D93" s="148">
        <v>18</v>
      </c>
      <c r="E93" s="463">
        <v>872000</v>
      </c>
      <c r="F93" s="142">
        <f t="shared" si="18"/>
        <v>15696000</v>
      </c>
      <c r="G93" s="129" t="s">
        <v>120</v>
      </c>
      <c r="H93" s="152"/>
      <c r="I93" s="153"/>
      <c r="J93" s="154"/>
      <c r="K93" s="150"/>
      <c r="L93" s="151"/>
    </row>
    <row r="94" spans="1:12">
      <c r="A94" s="146" t="s">
        <v>61</v>
      </c>
      <c r="B94" s="116"/>
      <c r="C94" s="147"/>
      <c r="D94" s="148">
        <v>5</v>
      </c>
      <c r="E94" s="463">
        <v>1090000</v>
      </c>
      <c r="F94" s="142">
        <f t="shared" si="18"/>
        <v>5450000</v>
      </c>
      <c r="G94" s="129" t="s">
        <v>119</v>
      </c>
      <c r="H94" s="152"/>
      <c r="I94" s="153"/>
      <c r="J94" s="154"/>
      <c r="K94" s="150"/>
      <c r="L94" s="151"/>
    </row>
    <row r="95" spans="1:12">
      <c r="A95" s="146" t="s">
        <v>62</v>
      </c>
      <c r="B95" s="116"/>
      <c r="C95" s="147"/>
      <c r="D95" s="148">
        <v>20</v>
      </c>
      <c r="E95" s="463">
        <v>163000</v>
      </c>
      <c r="F95" s="142">
        <f t="shared" si="18"/>
        <v>3260000</v>
      </c>
      <c r="G95" s="129" t="s">
        <v>121</v>
      </c>
      <c r="H95" s="152"/>
      <c r="I95" s="153"/>
      <c r="J95" s="154"/>
      <c r="K95" s="150"/>
      <c r="L95" s="151"/>
    </row>
    <row r="96" spans="1:12">
      <c r="A96" s="146" t="s">
        <v>63</v>
      </c>
      <c r="B96" s="116"/>
      <c r="C96" s="147"/>
      <c r="D96" s="148"/>
      <c r="E96" s="463">
        <v>0</v>
      </c>
      <c r="F96" s="142">
        <f t="shared" si="18"/>
        <v>0</v>
      </c>
      <c r="G96" s="129" t="s">
        <v>122</v>
      </c>
      <c r="H96" s="152"/>
      <c r="I96" s="153"/>
      <c r="J96" s="154"/>
      <c r="K96" s="150"/>
      <c r="L96" s="151"/>
    </row>
    <row r="97" spans="1:12">
      <c r="A97" s="146" t="s">
        <v>64</v>
      </c>
      <c r="B97" s="116"/>
      <c r="C97" s="147"/>
      <c r="D97" s="148"/>
      <c r="E97" s="463">
        <v>120000</v>
      </c>
      <c r="F97" s="142">
        <f t="shared" si="18"/>
        <v>0</v>
      </c>
      <c r="G97" s="129" t="s">
        <v>123</v>
      </c>
      <c r="H97" s="152"/>
      <c r="I97" s="153"/>
      <c r="J97" s="154"/>
      <c r="K97" s="150"/>
      <c r="L97" s="151"/>
    </row>
    <row r="98" spans="1:12">
      <c r="A98" s="146" t="s">
        <v>65</v>
      </c>
      <c r="B98" s="116"/>
      <c r="C98" s="147"/>
      <c r="D98" s="148"/>
      <c r="E98" s="463">
        <v>600000</v>
      </c>
      <c r="F98" s="142">
        <f t="shared" si="18"/>
        <v>0</v>
      </c>
      <c r="G98" s="129" t="s">
        <v>124</v>
      </c>
      <c r="H98" s="152"/>
      <c r="I98" s="153"/>
      <c r="J98" s="154"/>
      <c r="K98" s="150"/>
      <c r="L98" s="151"/>
    </row>
    <row r="99" spans="1:12">
      <c r="A99" s="146" t="s">
        <v>66</v>
      </c>
      <c r="B99" s="116"/>
      <c r="C99" s="147"/>
      <c r="D99" s="148">
        <v>4</v>
      </c>
      <c r="E99" s="463">
        <v>164000</v>
      </c>
      <c r="F99" s="142">
        <f t="shared" si="18"/>
        <v>656000</v>
      </c>
      <c r="G99" s="129" t="s">
        <v>72</v>
      </c>
      <c r="H99" s="152"/>
      <c r="I99" s="153"/>
      <c r="J99" s="154"/>
      <c r="K99" s="150"/>
      <c r="L99" s="151"/>
    </row>
    <row r="100" spans="1:12">
      <c r="A100" s="146" t="s">
        <v>67</v>
      </c>
      <c r="B100" s="116"/>
      <c r="C100" s="147"/>
      <c r="D100" s="148">
        <v>4</v>
      </c>
      <c r="E100" s="463">
        <v>164000</v>
      </c>
      <c r="F100" s="142">
        <f t="shared" si="18"/>
        <v>656000</v>
      </c>
      <c r="G100" s="129" t="s">
        <v>73</v>
      </c>
      <c r="H100" s="152"/>
      <c r="I100" s="153"/>
      <c r="J100" s="154"/>
      <c r="K100" s="150"/>
      <c r="L100" s="151"/>
    </row>
    <row r="101" spans="1:12">
      <c r="A101" s="146" t="s">
        <v>68</v>
      </c>
      <c r="B101" s="116"/>
      <c r="C101" s="147"/>
      <c r="D101" s="148">
        <v>20</v>
      </c>
      <c r="E101" s="463">
        <v>164000</v>
      </c>
      <c r="F101" s="142">
        <f t="shared" si="18"/>
        <v>3280000</v>
      </c>
      <c r="G101" s="129" t="s">
        <v>74</v>
      </c>
      <c r="H101" s="152"/>
      <c r="I101" s="153"/>
      <c r="J101" s="154"/>
      <c r="K101" s="150"/>
      <c r="L101" s="151"/>
    </row>
    <row r="102" spans="1:12">
      <c r="A102" s="155" t="s">
        <v>118</v>
      </c>
      <c r="B102" s="156"/>
      <c r="C102" s="157"/>
      <c r="D102" s="158"/>
      <c r="E102" s="464">
        <v>890000</v>
      </c>
      <c r="F102" s="142">
        <f t="shared" si="18"/>
        <v>0</v>
      </c>
      <c r="G102" s="129" t="s">
        <v>75</v>
      </c>
      <c r="H102" s="161"/>
      <c r="I102" s="162"/>
      <c r="J102" s="163"/>
      <c r="K102" s="164"/>
      <c r="L102" s="165"/>
    </row>
    <row r="103" spans="1:12" ht="15" customHeight="1">
      <c r="A103" s="129" t="s">
        <v>69</v>
      </c>
      <c r="B103" s="116"/>
      <c r="C103" s="166"/>
      <c r="D103" s="158"/>
      <c r="E103" s="464"/>
      <c r="F103" s="142">
        <f t="shared" si="18"/>
        <v>0</v>
      </c>
      <c r="G103" s="129" t="s">
        <v>76</v>
      </c>
      <c r="H103" s="161"/>
      <c r="I103" s="162"/>
      <c r="J103" s="163"/>
      <c r="K103" s="164"/>
      <c r="L103" s="165"/>
    </row>
    <row r="104" spans="1:12" ht="25.5">
      <c r="A104" s="265" t="s">
        <v>70</v>
      </c>
      <c r="B104" s="167"/>
      <c r="C104" s="168"/>
      <c r="D104" s="158"/>
      <c r="E104" s="464"/>
      <c r="F104" s="142">
        <f t="shared" si="18"/>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20" t="s">
        <v>272</v>
      </c>
      <c r="B106" s="521"/>
      <c r="C106" s="546"/>
      <c r="D106" s="172"/>
      <c r="E106" s="173"/>
      <c r="F106" s="174">
        <f>SUM(F86:F105)</f>
        <v>31278000</v>
      </c>
      <c r="G106" s="520" t="s">
        <v>127</v>
      </c>
      <c r="H106" s="521"/>
      <c r="I106" s="521"/>
      <c r="J106" s="535"/>
      <c r="K106" s="173"/>
      <c r="L106" s="266">
        <f>SUM(L87:L105)</f>
        <v>0</v>
      </c>
    </row>
    <row r="107" spans="1:12" ht="13.5" thickBot="1">
      <c r="A107" s="135"/>
      <c r="B107" s="135"/>
      <c r="C107" s="135"/>
      <c r="D107" s="135"/>
      <c r="E107" s="135"/>
      <c r="F107" s="175"/>
      <c r="G107" s="175"/>
      <c r="H107" s="175"/>
      <c r="I107" s="175"/>
      <c r="J107" s="175"/>
      <c r="K107" s="175"/>
      <c r="L107" s="175"/>
    </row>
    <row r="108" spans="1:12" ht="15.75" thickBot="1">
      <c r="A108" s="520" t="s">
        <v>273</v>
      </c>
      <c r="B108" s="521"/>
      <c r="C108" s="521"/>
      <c r="D108" s="173"/>
      <c r="E108" s="173"/>
      <c r="F108" s="173"/>
      <c r="G108" s="173"/>
      <c r="H108" s="173"/>
      <c r="I108" s="173"/>
      <c r="J108" s="173"/>
      <c r="K108" s="173"/>
      <c r="L108" s="266">
        <f>+L29+L49-L81+F106+L106</f>
        <v>1058705000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 xml:space="preserve">NOMBRE: JULIANA LOPEZ RESTREPO </v>
      </c>
      <c r="B112" s="182"/>
      <c r="C112" s="182"/>
      <c r="D112" s="182"/>
      <c r="E112" s="181" t="str">
        <f>TOTAL!C40</f>
        <v>NOMBRE: JORGE ENRIQUE RAMÍREZ</v>
      </c>
      <c r="F112" s="182"/>
      <c r="G112" s="131"/>
      <c r="H112" s="188"/>
      <c r="I112" s="308" t="str">
        <f>+TOTAL!E40</f>
        <v xml:space="preserve">NOMBRE: </v>
      </c>
      <c r="J112" s="308" t="str">
        <f>+TOTAL!F40</f>
        <v>Jaime Alonso Velez Mazo</v>
      </c>
      <c r="K112" s="187"/>
      <c r="L112" s="188"/>
    </row>
    <row r="113" spans="1:12">
      <c r="A113" s="181" t="str">
        <f>TOTAL!B41</f>
        <v>CARGO: Directora de Programa</v>
      </c>
      <c r="B113" s="182"/>
      <c r="C113" s="182"/>
      <c r="D113" s="182"/>
      <c r="E113" s="181" t="str">
        <f>TOTAL!C41</f>
        <v>CARGO: Decano</v>
      </c>
      <c r="F113" s="182"/>
      <c r="G113" s="131"/>
      <c r="H113" s="188"/>
      <c r="I113" s="308" t="str">
        <f>+TOTAL!E41</f>
        <v>CARGO:</v>
      </c>
      <c r="J113" s="308" t="str">
        <f>+TOTAL!F41</f>
        <v>Asistente de Presidencia para Presupuesto</v>
      </c>
      <c r="K113" s="187"/>
      <c r="L113" s="188"/>
    </row>
    <row r="114" spans="1:12">
      <c r="A114" s="181" t="str">
        <f>TOTAL!B42</f>
        <v>FECHA: 13-08-2019</v>
      </c>
      <c r="B114" s="182"/>
      <c r="C114" s="182"/>
      <c r="D114" s="182"/>
      <c r="E114" s="181" t="str">
        <f>TOTAL!C42</f>
        <v>FECHA: 13-08-2019</v>
      </c>
      <c r="F114" s="182"/>
      <c r="G114" s="131"/>
      <c r="H114" s="188"/>
      <c r="I114" s="308" t="str">
        <f>+TOTAL!E42</f>
        <v xml:space="preserve">FECHA: </v>
      </c>
      <c r="J114" s="488">
        <f>+TOTAL!F42</f>
        <v>43690</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J33:J34"/>
    <mergeCell ref="L33:L34"/>
    <mergeCell ref="E33:H33"/>
    <mergeCell ref="H14:I14"/>
    <mergeCell ref="B14:D14"/>
    <mergeCell ref="A8:L8"/>
    <mergeCell ref="J9:L9"/>
    <mergeCell ref="J10:L11"/>
    <mergeCell ref="A9:I9"/>
    <mergeCell ref="A10:I11"/>
    <mergeCell ref="A53:B54"/>
    <mergeCell ref="L53:L54"/>
    <mergeCell ref="A81:B81"/>
    <mergeCell ref="G84:L84"/>
    <mergeCell ref="A84:F84"/>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A178" zoomScale="60" zoomScaleNormal="60" workbookViewId="0">
      <selection activeCell="G406" sqref="G406"/>
    </sheetView>
  </sheetViews>
  <sheetFormatPr baseColWidth="10" defaultRowHeight="15"/>
  <cols>
    <col min="1" max="1" width="0.5703125" style="63" customWidth="1"/>
    <col min="2" max="2" width="11.140625" style="61" customWidth="1"/>
    <col min="3" max="3" width="39.7109375" style="64" customWidth="1"/>
    <col min="4" max="4" width="26" style="64" hidden="1" customWidth="1"/>
    <col min="5" max="5" width="22.7109375" style="64" hidden="1" customWidth="1"/>
    <col min="6" max="6" width="44.140625" style="64" customWidth="1"/>
    <col min="7" max="7" width="53.28515625" style="64" customWidth="1"/>
    <col min="8" max="8" width="8.5703125" style="65" customWidth="1"/>
    <col min="9" max="9" width="16.28515625" style="409" customWidth="1"/>
    <col min="10" max="10" width="13.42578125" style="66" bestFit="1" customWidth="1"/>
    <col min="11" max="11" width="30.7109375" style="409" customWidth="1"/>
    <col min="12" max="12" width="8.28515625" style="326" customWidth="1"/>
    <col min="13" max="13" width="17" style="367" customWidth="1"/>
    <col min="14" max="14" width="28.7109375" style="355" bestFit="1" customWidth="1"/>
    <col min="15" max="26" width="4" style="61" customWidth="1"/>
    <col min="27" max="27" width="11.7109375" style="55" bestFit="1" customWidth="1"/>
    <col min="28" max="16384" width="11.42578125" style="54"/>
  </cols>
  <sheetData>
    <row r="1" spans="1:27" ht="20.25" customHeight="1">
      <c r="A1" s="557"/>
      <c r="B1" s="610"/>
      <c r="C1" s="610"/>
      <c r="D1" s="610"/>
      <c r="E1" s="610"/>
      <c r="F1" s="610"/>
      <c r="G1" s="610"/>
      <c r="H1" s="610"/>
      <c r="I1" s="610"/>
      <c r="J1" s="610"/>
      <c r="K1" s="610"/>
      <c r="L1" s="610"/>
      <c r="M1" s="610"/>
      <c r="N1" s="610"/>
      <c r="O1" s="610"/>
      <c r="P1" s="610"/>
      <c r="Q1" s="610"/>
      <c r="R1" s="610"/>
      <c r="S1" s="610"/>
      <c r="T1" s="610"/>
      <c r="U1" s="610"/>
      <c r="V1" s="610"/>
      <c r="W1" s="610"/>
      <c r="X1" s="610"/>
      <c r="Y1" s="610"/>
      <c r="Z1" s="611"/>
      <c r="AA1" s="54"/>
    </row>
    <row r="2" spans="1:27" ht="39" customHeight="1">
      <c r="A2" s="2"/>
      <c r="B2" s="612" t="s">
        <v>4</v>
      </c>
      <c r="C2" s="613"/>
      <c r="D2" s="613"/>
      <c r="E2" s="613"/>
      <c r="F2" s="613"/>
      <c r="G2" s="613"/>
      <c r="H2" s="613"/>
      <c r="I2" s="613"/>
      <c r="J2" s="613"/>
      <c r="K2" s="613"/>
      <c r="L2" s="613"/>
      <c r="M2" s="613"/>
      <c r="N2" s="613"/>
      <c r="O2" s="613"/>
      <c r="P2" s="613"/>
      <c r="Q2" s="613"/>
      <c r="R2" s="613"/>
      <c r="S2" s="613"/>
      <c r="T2" s="613"/>
      <c r="U2" s="613"/>
      <c r="V2" s="613"/>
      <c r="W2" s="613"/>
      <c r="X2" s="613"/>
      <c r="Y2" s="613"/>
      <c r="Z2" s="614"/>
      <c r="AA2" s="54"/>
    </row>
    <row r="3" spans="1:27" ht="27.75" customHeight="1">
      <c r="A3" s="2"/>
      <c r="B3" s="612" t="s">
        <v>110</v>
      </c>
      <c r="C3" s="613"/>
      <c r="D3" s="613"/>
      <c r="E3" s="613"/>
      <c r="F3" s="613"/>
      <c r="G3" s="613"/>
      <c r="H3" s="613"/>
      <c r="I3" s="613"/>
      <c r="J3" s="613"/>
      <c r="K3" s="613"/>
      <c r="L3" s="613"/>
      <c r="M3" s="613"/>
      <c r="N3" s="613"/>
      <c r="O3" s="613"/>
      <c r="P3" s="613"/>
      <c r="Q3" s="613"/>
      <c r="R3" s="613"/>
      <c r="S3" s="613"/>
      <c r="T3" s="613"/>
      <c r="U3" s="613"/>
      <c r="V3" s="613"/>
      <c r="W3" s="613"/>
      <c r="X3" s="613"/>
      <c r="Y3" s="613"/>
      <c r="Z3" s="614"/>
      <c r="AA3" s="54"/>
    </row>
    <row r="4" spans="1:27" ht="10.5" customHeight="1">
      <c r="A4" s="555"/>
      <c r="B4" s="556"/>
      <c r="C4" s="556"/>
      <c r="D4" s="556"/>
      <c r="E4" s="556"/>
      <c r="F4" s="556"/>
      <c r="G4" s="556"/>
      <c r="H4" s="556"/>
      <c r="I4" s="556"/>
      <c r="J4" s="556"/>
      <c r="K4" s="556"/>
      <c r="L4" s="556"/>
      <c r="M4" s="556"/>
      <c r="N4" s="615"/>
      <c r="O4" s="3"/>
      <c r="P4" s="1"/>
      <c r="Q4" s="1"/>
      <c r="R4" s="1"/>
      <c r="S4" s="1"/>
      <c r="T4" s="1"/>
      <c r="U4" s="1"/>
      <c r="V4" s="1"/>
      <c r="W4" s="1"/>
      <c r="X4" s="1"/>
      <c r="Y4" s="1"/>
      <c r="Z4" s="1"/>
      <c r="AA4" s="54"/>
    </row>
    <row r="5" spans="1:27" ht="10.5" customHeight="1" thickBot="1">
      <c r="A5" s="557"/>
      <c r="B5" s="549"/>
      <c r="C5" s="549"/>
      <c r="D5" s="549"/>
      <c r="E5" s="549"/>
      <c r="F5" s="549"/>
      <c r="G5" s="549"/>
      <c r="H5" s="549"/>
      <c r="I5" s="549"/>
      <c r="J5" s="549"/>
      <c r="K5" s="549"/>
      <c r="L5" s="549"/>
      <c r="M5" s="549"/>
      <c r="N5" s="616"/>
      <c r="O5" s="4"/>
      <c r="P5" s="5"/>
      <c r="Q5" s="5"/>
      <c r="R5" s="5"/>
      <c r="S5" s="5"/>
      <c r="T5" s="5"/>
      <c r="U5" s="5"/>
      <c r="V5" s="5"/>
      <c r="W5" s="5"/>
      <c r="X5" s="5"/>
      <c r="Y5" s="5"/>
      <c r="Z5" s="5"/>
      <c r="AA5" s="54"/>
    </row>
    <row r="6" spans="1:27" ht="23.25" customHeight="1" thickBot="1">
      <c r="A6" s="6"/>
      <c r="B6" s="594" t="s">
        <v>282</v>
      </c>
      <c r="C6" s="595"/>
      <c r="D6" s="595"/>
      <c r="E6" s="595"/>
      <c r="F6" s="595"/>
      <c r="G6" s="595"/>
      <c r="H6" s="595"/>
      <c r="I6" s="595"/>
      <c r="J6" s="595"/>
      <c r="K6" s="596"/>
      <c r="L6" s="502" t="s">
        <v>111</v>
      </c>
      <c r="M6" s="504">
        <v>2019</v>
      </c>
      <c r="N6" s="522" t="s">
        <v>281</v>
      </c>
      <c r="O6" s="607"/>
      <c r="P6" s="607"/>
      <c r="Q6" s="607"/>
      <c r="R6" s="607"/>
      <c r="S6" s="607"/>
      <c r="T6" s="607"/>
      <c r="U6" s="607"/>
      <c r="V6" s="607"/>
      <c r="W6" s="607"/>
      <c r="X6" s="607"/>
      <c r="Y6" s="607"/>
      <c r="Z6" s="608"/>
    </row>
    <row r="7" spans="1:27" s="57" customFormat="1" ht="6" customHeight="1" thickBot="1">
      <c r="A7" s="593"/>
      <c r="B7" s="593"/>
      <c r="C7" s="593"/>
      <c r="D7" s="593"/>
      <c r="E7" s="593"/>
      <c r="F7" s="593"/>
      <c r="G7" s="593"/>
      <c r="H7" s="593"/>
      <c r="I7" s="593"/>
      <c r="J7" s="593"/>
      <c r="K7" s="593"/>
      <c r="L7" s="593"/>
      <c r="M7" s="593"/>
      <c r="N7" s="593"/>
      <c r="O7" s="7"/>
      <c r="P7" s="7"/>
      <c r="Q7" s="7"/>
      <c r="R7" s="7"/>
      <c r="S7" s="7"/>
      <c r="T7" s="7"/>
      <c r="U7" s="7"/>
      <c r="V7" s="7"/>
      <c r="W7" s="7"/>
      <c r="X7" s="7"/>
      <c r="Y7" s="7"/>
      <c r="Z7" s="7"/>
      <c r="AA7" s="56"/>
    </row>
    <row r="8" spans="1:27" s="62" customFormat="1" ht="25.5" customHeight="1" thickBot="1">
      <c r="A8" s="267"/>
      <c r="B8" s="309" t="s">
        <v>0</v>
      </c>
      <c r="C8" s="605" t="str">
        <f>+TOTAL!C9</f>
        <v>FACULTAD DE INGENIERIA</v>
      </c>
      <c r="D8" s="605"/>
      <c r="E8" s="605"/>
      <c r="F8" s="605"/>
      <c r="G8" s="605"/>
      <c r="H8" s="310"/>
      <c r="I8" s="406"/>
      <c r="J8" s="310"/>
      <c r="K8" s="406"/>
      <c r="L8" s="320"/>
      <c r="M8" s="356"/>
      <c r="N8" s="344"/>
      <c r="O8" s="310"/>
      <c r="P8" s="310"/>
      <c r="Q8" s="310"/>
      <c r="R8" s="310"/>
      <c r="S8" s="310"/>
      <c r="T8" s="310"/>
      <c r="U8" s="310"/>
      <c r="V8" s="310"/>
      <c r="W8" s="310"/>
      <c r="X8" s="310"/>
      <c r="Y8" s="310"/>
      <c r="Z8" s="311"/>
      <c r="AA8" s="268"/>
    </row>
    <row r="9" spans="1:27" s="271" customFormat="1" ht="25.5" customHeight="1" thickBot="1">
      <c r="A9" s="269"/>
      <c r="B9" s="372" t="s">
        <v>6</v>
      </c>
      <c r="C9" s="609" t="str">
        <f>+INGRESOS!A10</f>
        <v>Ingeniería Financiera</v>
      </c>
      <c r="D9" s="609"/>
      <c r="E9" s="609"/>
      <c r="F9" s="609"/>
      <c r="G9" s="609"/>
      <c r="H9" s="283" t="s">
        <v>5</v>
      </c>
      <c r="I9" s="605" t="str">
        <f>+INGRESOS!J10</f>
        <v>05010107</v>
      </c>
      <c r="J9" s="605"/>
      <c r="K9" s="605"/>
      <c r="L9" s="605"/>
      <c r="M9" s="605"/>
      <c r="N9" s="605"/>
      <c r="O9" s="605"/>
      <c r="P9" s="605"/>
      <c r="Q9" s="605"/>
      <c r="R9" s="605"/>
      <c r="S9" s="605"/>
      <c r="T9" s="605"/>
      <c r="U9" s="605"/>
      <c r="V9" s="605"/>
      <c r="W9" s="605"/>
      <c r="X9" s="605"/>
      <c r="Y9" s="605"/>
      <c r="Z9" s="606"/>
      <c r="AA9" s="270"/>
    </row>
    <row r="10" spans="1:27" s="57" customFormat="1" ht="15.75" thickBot="1">
      <c r="A10" s="593"/>
      <c r="B10" s="593"/>
      <c r="C10" s="593"/>
      <c r="D10" s="593"/>
      <c r="E10" s="593"/>
      <c r="F10" s="593"/>
      <c r="G10" s="593"/>
      <c r="H10" s="593"/>
      <c r="I10" s="593"/>
      <c r="J10" s="593"/>
      <c r="K10" s="593"/>
      <c r="L10" s="593"/>
      <c r="M10" s="593"/>
      <c r="N10" s="593"/>
      <c r="O10" s="7"/>
      <c r="P10" s="7"/>
      <c r="Q10" s="7"/>
      <c r="R10" s="7"/>
      <c r="S10" s="7"/>
      <c r="T10" s="7"/>
      <c r="U10" s="7"/>
      <c r="V10" s="7"/>
      <c r="W10" s="7"/>
      <c r="X10" s="7"/>
      <c r="Y10" s="7"/>
      <c r="Z10" s="7"/>
      <c r="AA10" s="56"/>
    </row>
    <row r="11" spans="1:27" ht="32.25" customHeight="1" thickBot="1">
      <c r="A11" s="6"/>
      <c r="B11" s="597" t="s">
        <v>3</v>
      </c>
      <c r="C11" s="598"/>
      <c r="D11" s="601" t="s">
        <v>255</v>
      </c>
      <c r="E11" s="598" t="s">
        <v>256</v>
      </c>
      <c r="F11" s="601" t="s">
        <v>245</v>
      </c>
      <c r="G11" s="601" t="s">
        <v>246</v>
      </c>
      <c r="H11" s="594" t="s">
        <v>251</v>
      </c>
      <c r="I11" s="595"/>
      <c r="J11" s="595"/>
      <c r="K11" s="595"/>
      <c r="L11" s="595"/>
      <c r="M11" s="595"/>
      <c r="N11" s="596"/>
      <c r="O11" s="594" t="s">
        <v>252</v>
      </c>
      <c r="P11" s="595"/>
      <c r="Q11" s="595"/>
      <c r="R11" s="595"/>
      <c r="S11" s="595"/>
      <c r="T11" s="595"/>
      <c r="U11" s="595"/>
      <c r="V11" s="595"/>
      <c r="W11" s="595"/>
      <c r="X11" s="595"/>
      <c r="Y11" s="595"/>
      <c r="Z11" s="596"/>
    </row>
    <row r="12" spans="1:27" ht="54" customHeight="1" thickBot="1">
      <c r="A12" s="6"/>
      <c r="B12" s="599"/>
      <c r="C12" s="600"/>
      <c r="D12" s="602"/>
      <c r="E12" s="604"/>
      <c r="F12" s="602"/>
      <c r="G12" s="603"/>
      <c r="H12" s="594" t="s">
        <v>253</v>
      </c>
      <c r="I12" s="596"/>
      <c r="J12" s="594" t="s">
        <v>265</v>
      </c>
      <c r="K12" s="596"/>
      <c r="L12" s="617" t="s">
        <v>254</v>
      </c>
      <c r="M12" s="618"/>
      <c r="N12" s="619" t="s">
        <v>264</v>
      </c>
      <c r="O12" s="601" t="s">
        <v>222</v>
      </c>
      <c r="P12" s="601" t="s">
        <v>223</v>
      </c>
      <c r="Q12" s="601" t="s">
        <v>224</v>
      </c>
      <c r="R12" s="601" t="s">
        <v>225</v>
      </c>
      <c r="S12" s="601" t="s">
        <v>224</v>
      </c>
      <c r="T12" s="601" t="s">
        <v>226</v>
      </c>
      <c r="U12" s="601" t="s">
        <v>226</v>
      </c>
      <c r="V12" s="601" t="s">
        <v>225</v>
      </c>
      <c r="W12" s="601" t="s">
        <v>227</v>
      </c>
      <c r="X12" s="601" t="s">
        <v>228</v>
      </c>
      <c r="Y12" s="601" t="s">
        <v>221</v>
      </c>
      <c r="Z12" s="601" t="s">
        <v>229</v>
      </c>
    </row>
    <row r="13" spans="1:27" ht="54.75" thickBot="1">
      <c r="A13" s="6"/>
      <c r="B13" s="58" t="s">
        <v>7</v>
      </c>
      <c r="C13" s="53" t="s">
        <v>6</v>
      </c>
      <c r="D13" s="603"/>
      <c r="E13" s="600"/>
      <c r="F13" s="594" t="s">
        <v>244</v>
      </c>
      <c r="G13" s="596"/>
      <c r="H13" s="53" t="s">
        <v>7</v>
      </c>
      <c r="I13" s="53" t="s">
        <v>6</v>
      </c>
      <c r="J13" s="53" t="s">
        <v>7</v>
      </c>
      <c r="K13" s="53" t="s">
        <v>6</v>
      </c>
      <c r="L13" s="327" t="s">
        <v>7</v>
      </c>
      <c r="M13" s="58" t="s">
        <v>6</v>
      </c>
      <c r="N13" s="620"/>
      <c r="O13" s="603"/>
      <c r="P13" s="603"/>
      <c r="Q13" s="603"/>
      <c r="R13" s="603"/>
      <c r="S13" s="603"/>
      <c r="T13" s="603"/>
      <c r="U13" s="603"/>
      <c r="V13" s="603"/>
      <c r="W13" s="603"/>
      <c r="X13" s="603"/>
      <c r="Y13" s="603"/>
      <c r="Z13" s="603"/>
    </row>
    <row r="14" spans="1:27" s="60" customFormat="1" ht="185.25" customHeight="1">
      <c r="A14" s="8"/>
      <c r="B14" s="20" t="str">
        <f>+IFERROR(VLOOKUP(C14,Listas!$L$8:$M$101,2,FALSE),"")</f>
        <v>10010101</v>
      </c>
      <c r="C14" s="340" t="s">
        <v>471</v>
      </c>
      <c r="D14" s="275"/>
      <c r="E14" s="276"/>
      <c r="F14" s="582" t="s">
        <v>1007</v>
      </c>
      <c r="G14" s="384"/>
      <c r="H14" s="385" t="str">
        <f>+IF(I14=""," ",VLOOKUP(I14,Listas!$I$8:$J$10,2,FALSE))</f>
        <v>02</v>
      </c>
      <c r="I14" s="387" t="s">
        <v>464</v>
      </c>
      <c r="J14" s="386">
        <f>+IF(K14=""," ",VLOOKUP(K14,PUC!$B:$C,2,FALSE))</f>
        <v>6208020203</v>
      </c>
      <c r="K14" s="387" t="s">
        <v>811</v>
      </c>
      <c r="L14" s="388" t="str">
        <f>+IF(M14=""," ",VLOOKUP(M14,Listas!$F$9:$G$17,2,FALSE))</f>
        <v>02</v>
      </c>
      <c r="M14" s="389" t="s">
        <v>444</v>
      </c>
      <c r="N14" s="390"/>
      <c r="O14" s="12"/>
      <c r="P14" s="13"/>
      <c r="Q14" s="13"/>
      <c r="R14" s="13"/>
      <c r="S14" s="13"/>
      <c r="T14" s="13"/>
      <c r="U14" s="13"/>
      <c r="V14" s="13"/>
      <c r="W14" s="13"/>
      <c r="X14" s="13"/>
      <c r="Y14" s="13"/>
      <c r="Z14" s="14"/>
      <c r="AA14" s="59"/>
    </row>
    <row r="15" spans="1:27" s="59" customFormat="1" ht="29.25" customHeight="1">
      <c r="A15" s="8"/>
      <c r="B15" s="11" t="str">
        <f>+IFERROR(VLOOKUP(C15,Listas!$L$8:$M$101,2,FALSE),"")</f>
        <v>10010101</v>
      </c>
      <c r="C15" s="335" t="s">
        <v>471</v>
      </c>
      <c r="D15" s="273"/>
      <c r="E15" s="274"/>
      <c r="F15" s="583"/>
      <c r="G15" s="377" t="s">
        <v>1349</v>
      </c>
      <c r="H15" s="378" t="str">
        <f>+IF(I15=""," ",VLOOKUP(I15,Listas!$I$8:$J$10,2,FALSE))</f>
        <v>02</v>
      </c>
      <c r="I15" s="380" t="s">
        <v>464</v>
      </c>
      <c r="J15" s="379">
        <f>+IF(K15=""," ",VLOOKUP(K15,PUC!$B:$C,2,FALSE))</f>
        <v>6208020203</v>
      </c>
      <c r="K15" s="380" t="s">
        <v>811</v>
      </c>
      <c r="L15" s="381" t="str">
        <f>+IF(M15=""," ",VLOOKUP(M15,Listas!$F$9:$G$17,2,FALSE))</f>
        <v>02</v>
      </c>
      <c r="M15" s="382" t="s">
        <v>444</v>
      </c>
      <c r="N15" s="383"/>
      <c r="O15" s="15"/>
      <c r="P15" s="16"/>
      <c r="Q15" s="16"/>
      <c r="R15" s="16"/>
      <c r="S15" s="16"/>
      <c r="T15" s="16"/>
      <c r="U15" s="16"/>
      <c r="V15" s="16"/>
      <c r="W15" s="16"/>
      <c r="X15" s="16"/>
      <c r="Y15" s="16"/>
      <c r="Z15" s="17"/>
    </row>
    <row r="16" spans="1:27" s="59" customFormat="1" ht="48" customHeight="1">
      <c r="A16" s="8"/>
      <c r="B16" s="11" t="str">
        <f>+IFERROR(VLOOKUP(C16,Listas!$L$8:$M$101,2,FALSE),"")</f>
        <v>10010101</v>
      </c>
      <c r="C16" s="335" t="s">
        <v>471</v>
      </c>
      <c r="D16" s="273"/>
      <c r="E16" s="274"/>
      <c r="F16" s="583"/>
      <c r="G16" s="624" t="s">
        <v>1350</v>
      </c>
      <c r="H16" s="378" t="str">
        <f>+IF(I16=""," ",VLOOKUP(I16,Listas!$I$8:$J$10,2,FALSE))</f>
        <v>02</v>
      </c>
      <c r="I16" s="380" t="s">
        <v>464</v>
      </c>
      <c r="J16" s="379">
        <f>+IF(K16=""," ",VLOOKUP(K16,PUC!$B:$C,2,FALSE))</f>
        <v>6208020203</v>
      </c>
      <c r="K16" s="380" t="s">
        <v>811</v>
      </c>
      <c r="L16" s="381" t="str">
        <f>+IF(M16=""," ",VLOOKUP(M16,Listas!$F$9:$G$17,2,FALSE))</f>
        <v>02</v>
      </c>
      <c r="M16" s="382" t="s">
        <v>444</v>
      </c>
      <c r="N16" s="383"/>
      <c r="O16" s="15"/>
      <c r="P16" s="16"/>
      <c r="Q16" s="16"/>
      <c r="R16" s="16"/>
      <c r="S16" s="16"/>
      <c r="T16" s="16"/>
      <c r="U16" s="16"/>
      <c r="V16" s="16"/>
      <c r="W16" s="16"/>
      <c r="X16" s="16"/>
      <c r="Y16" s="16"/>
      <c r="Z16" s="17"/>
    </row>
    <row r="17" spans="1:26" s="59" customFormat="1" ht="51">
      <c r="A17" s="8"/>
      <c r="B17" s="11" t="str">
        <f>+IFERROR(VLOOKUP(C17,Listas!$L$8:$M$101,2,FALSE),"")</f>
        <v>10010101</v>
      </c>
      <c r="C17" s="335" t="s">
        <v>471</v>
      </c>
      <c r="D17" s="273"/>
      <c r="E17" s="274"/>
      <c r="F17" s="584"/>
      <c r="G17" s="625"/>
      <c r="H17" s="378" t="str">
        <f>+IF(I17=""," ",VLOOKUP(I17,Listas!$I$8:$J$10,2,FALSE))</f>
        <v>02</v>
      </c>
      <c r="I17" s="380" t="s">
        <v>464</v>
      </c>
      <c r="J17" s="379">
        <f>+IF(K17=""," ",VLOOKUP(K17,PUC!$B:$C,2,FALSE))</f>
        <v>6208021602</v>
      </c>
      <c r="K17" s="380" t="s">
        <v>808</v>
      </c>
      <c r="L17" s="381" t="str">
        <f>+IF(M17=""," ",VLOOKUP(M17,Listas!$F$9:$G$17,2,FALSE))</f>
        <v>02</v>
      </c>
      <c r="M17" s="382" t="s">
        <v>444</v>
      </c>
      <c r="N17" s="383"/>
      <c r="O17" s="15"/>
      <c r="P17" s="16"/>
      <c r="Q17" s="16"/>
      <c r="R17" s="16"/>
      <c r="S17" s="16"/>
      <c r="T17" s="16"/>
      <c r="U17" s="16"/>
      <c r="V17" s="16"/>
      <c r="W17" s="16"/>
      <c r="X17" s="16"/>
      <c r="Y17" s="16"/>
      <c r="Z17" s="17"/>
    </row>
    <row r="18" spans="1:26" s="59" customFormat="1" ht="33.75" customHeight="1">
      <c r="A18" s="8"/>
      <c r="B18" s="11" t="str">
        <f>+IFERROR(VLOOKUP(C18,Listas!$L$8:$M$101,2,FALSE),"")</f>
        <v>10010101</v>
      </c>
      <c r="C18" s="335" t="s">
        <v>471</v>
      </c>
      <c r="D18" s="273"/>
      <c r="E18" s="274"/>
      <c r="F18" s="585" t="s">
        <v>1008</v>
      </c>
      <c r="G18" s="377" t="s">
        <v>1009</v>
      </c>
      <c r="H18" s="378" t="str">
        <f>+IF(I18=""," ",VLOOKUP(I18,Listas!$I$8:$J$10,2,FALSE))</f>
        <v>02</v>
      </c>
      <c r="I18" s="380" t="s">
        <v>464</v>
      </c>
      <c r="J18" s="379">
        <f>+IF(K18=""," ",VLOOKUP(K18,PUC!$B:$C,2,FALSE))</f>
        <v>6208021401</v>
      </c>
      <c r="K18" s="380" t="s">
        <v>868</v>
      </c>
      <c r="L18" s="381" t="str">
        <f>+IF(M18=""," ",VLOOKUP(M18,Listas!$F$9:$G$17,2,FALSE))</f>
        <v>02</v>
      </c>
      <c r="M18" s="382" t="s">
        <v>444</v>
      </c>
      <c r="N18" s="383"/>
      <c r="O18" s="15"/>
      <c r="P18" s="16"/>
      <c r="Q18" s="16"/>
      <c r="R18" s="16"/>
      <c r="S18" s="16"/>
      <c r="T18" s="16"/>
      <c r="U18" s="16"/>
      <c r="V18" s="16"/>
      <c r="W18" s="16"/>
      <c r="X18" s="16"/>
      <c r="Y18" s="16"/>
      <c r="Z18" s="17"/>
    </row>
    <row r="19" spans="1:26" s="59" customFormat="1" ht="37.5" customHeight="1">
      <c r="A19" s="8"/>
      <c r="B19" s="11" t="str">
        <f>+IFERROR(VLOOKUP(C19,Listas!$L$8:$M$101,2,FALSE),"")</f>
        <v>10010101</v>
      </c>
      <c r="C19" s="335" t="s">
        <v>471</v>
      </c>
      <c r="D19" s="273"/>
      <c r="E19" s="274"/>
      <c r="F19" s="584"/>
      <c r="G19" s="370" t="s">
        <v>1010</v>
      </c>
      <c r="H19" s="9" t="str">
        <f>+IF(I19=""," ",VLOOKUP(I19,Listas!$I$8:$J$10,2,FALSE))</f>
        <v xml:space="preserve"> </v>
      </c>
      <c r="I19" s="335"/>
      <c r="J19" s="369" t="str">
        <f>+IF(K19=""," ",VLOOKUP(K19,PUC!$B:$C,2,FALSE))</f>
        <v xml:space="preserve"> </v>
      </c>
      <c r="K19" s="335"/>
      <c r="L19" s="11" t="str">
        <f>+IF(M19=""," ",VLOOKUP(M19,Listas!$F$9:$G$17,2,FALSE))</f>
        <v xml:space="preserve"> </v>
      </c>
      <c r="M19" s="357"/>
      <c r="N19" s="346"/>
      <c r="O19" s="15"/>
      <c r="P19" s="16"/>
      <c r="Q19" s="16"/>
      <c r="R19" s="16"/>
      <c r="S19" s="16"/>
      <c r="T19" s="16"/>
      <c r="U19" s="16"/>
      <c r="V19" s="16"/>
      <c r="W19" s="16"/>
      <c r="X19" s="16"/>
      <c r="Y19" s="16"/>
      <c r="Z19" s="17"/>
    </row>
    <row r="20" spans="1:26" s="59" customFormat="1" ht="36" customHeight="1">
      <c r="A20" s="8"/>
      <c r="B20" s="11" t="str">
        <f>+IFERROR(VLOOKUP(C20,Listas!$L$8:$M$101,2,FALSE),"")</f>
        <v>10010101</v>
      </c>
      <c r="C20" s="335" t="s">
        <v>471</v>
      </c>
      <c r="D20" s="273"/>
      <c r="E20" s="274"/>
      <c r="F20" s="585" t="s">
        <v>1011</v>
      </c>
      <c r="G20" s="370" t="s">
        <v>1012</v>
      </c>
      <c r="H20" s="9" t="str">
        <f>+IF(I20=""," ",VLOOKUP(I20,Listas!$I$8:$J$10,2,FALSE))</f>
        <v xml:space="preserve"> </v>
      </c>
      <c r="I20" s="335"/>
      <c r="J20" s="369" t="str">
        <f>+IF(K20=""," ",VLOOKUP(K20,PUC!$B:$C,2,FALSE))</f>
        <v xml:space="preserve"> </v>
      </c>
      <c r="K20" s="335"/>
      <c r="L20" s="11" t="str">
        <f>+IF(M20=""," ",VLOOKUP(M20,Listas!$F$9:$G$17,2,FALSE))</f>
        <v xml:space="preserve"> </v>
      </c>
      <c r="M20" s="357"/>
      <c r="N20" s="346"/>
      <c r="O20" s="15"/>
      <c r="P20" s="16"/>
      <c r="Q20" s="16"/>
      <c r="R20" s="16"/>
      <c r="S20" s="16"/>
      <c r="T20" s="16"/>
      <c r="U20" s="16"/>
      <c r="V20" s="16"/>
      <c r="W20" s="16"/>
      <c r="X20" s="16"/>
      <c r="Y20" s="16"/>
      <c r="Z20" s="17"/>
    </row>
    <row r="21" spans="1:26" s="59" customFormat="1" ht="36" customHeight="1">
      <c r="A21" s="8"/>
      <c r="B21" s="11" t="str">
        <f>+IFERROR(VLOOKUP(C21,Listas!$L$8:$M$101,2,FALSE),"")</f>
        <v>10010101</v>
      </c>
      <c r="C21" s="335" t="s">
        <v>471</v>
      </c>
      <c r="D21" s="273"/>
      <c r="E21" s="274"/>
      <c r="F21" s="583"/>
      <c r="G21" s="370" t="s">
        <v>1013</v>
      </c>
      <c r="H21" s="9" t="str">
        <f>+IF(I21=""," ",VLOOKUP(I21,Listas!$I$8:$J$10,2,FALSE))</f>
        <v xml:space="preserve"> </v>
      </c>
      <c r="I21" s="335"/>
      <c r="J21" s="369" t="str">
        <f>+IF(K21=""," ",VLOOKUP(K21,PUC!$B:$C,2,FALSE))</f>
        <v xml:space="preserve"> </v>
      </c>
      <c r="K21" s="335"/>
      <c r="L21" s="11" t="str">
        <f>+IF(M21=""," ",VLOOKUP(M21,Listas!$F$9:$G$17,2,FALSE))</f>
        <v xml:space="preserve"> </v>
      </c>
      <c r="M21" s="357"/>
      <c r="N21" s="346"/>
      <c r="O21" s="15"/>
      <c r="P21" s="16"/>
      <c r="Q21" s="16"/>
      <c r="R21" s="16"/>
      <c r="S21" s="16"/>
      <c r="T21" s="16"/>
      <c r="U21" s="16"/>
      <c r="V21" s="16"/>
      <c r="W21" s="16"/>
      <c r="X21" s="16"/>
      <c r="Y21" s="16"/>
      <c r="Z21" s="17"/>
    </row>
    <row r="22" spans="1:26" s="59" customFormat="1" ht="36" customHeight="1" thickBot="1">
      <c r="A22" s="8"/>
      <c r="B22" s="11" t="str">
        <f>+IFERROR(VLOOKUP(C22,Listas!$L$8:$M$101,2,FALSE),"")</f>
        <v>10010101</v>
      </c>
      <c r="C22" s="335" t="s">
        <v>471</v>
      </c>
      <c r="D22" s="273"/>
      <c r="E22" s="274"/>
      <c r="F22" s="584"/>
      <c r="G22" s="370" t="s">
        <v>1014</v>
      </c>
      <c r="H22" s="9" t="str">
        <f>+IF(I22=""," ",VLOOKUP(I22,Listas!$I$8:$J$10,2,FALSE))</f>
        <v xml:space="preserve"> </v>
      </c>
      <c r="I22" s="335"/>
      <c r="J22" s="369" t="str">
        <f>+IF(K22=""," ",VLOOKUP(K22,PUC!$B:$C,2,FALSE))</f>
        <v xml:space="preserve"> </v>
      </c>
      <c r="K22" s="335"/>
      <c r="L22" s="11" t="str">
        <f>+IF(M22=""," ",VLOOKUP(M22,Listas!$F$9:$G$17,2,FALSE))</f>
        <v xml:space="preserve"> </v>
      </c>
      <c r="M22" s="357"/>
      <c r="N22" s="346"/>
      <c r="O22" s="15"/>
      <c r="P22" s="16"/>
      <c r="Q22" s="16"/>
      <c r="R22" s="16"/>
      <c r="S22" s="16"/>
      <c r="T22" s="16"/>
      <c r="U22" s="16"/>
      <c r="V22" s="16"/>
      <c r="W22" s="16"/>
      <c r="X22" s="16"/>
      <c r="Y22" s="16"/>
      <c r="Z22" s="17"/>
    </row>
    <row r="23" spans="1:26" s="59" customFormat="1" ht="29.25" hidden="1" customHeight="1">
      <c r="A23" s="8"/>
      <c r="B23" s="11" t="str">
        <f>+IFERROR(VLOOKUP(C23,Listas!$L$8:$M$101,2,FALSE),"")</f>
        <v>10010101</v>
      </c>
      <c r="C23" s="335" t="s">
        <v>471</v>
      </c>
      <c r="D23" s="273"/>
      <c r="E23" s="274"/>
      <c r="F23" s="273"/>
      <c r="G23" s="273"/>
      <c r="H23" s="9" t="str">
        <f>+IF(I23=""," ",VLOOKUP(I23,Listas!$I$8:$J$10,2,FALSE))</f>
        <v xml:space="preserve"> </v>
      </c>
      <c r="I23" s="335"/>
      <c r="J23" s="369" t="str">
        <f>+IF(K23=""," ",VLOOKUP(K23,PUC!$B:$C,2,FALSE))</f>
        <v xml:space="preserve"> </v>
      </c>
      <c r="K23" s="335"/>
      <c r="L23" s="11" t="str">
        <f>+IF(M23=""," ",VLOOKUP(M23,Listas!$F$9:$G$17,2,FALSE))</f>
        <v xml:space="preserve"> </v>
      </c>
      <c r="M23" s="357"/>
      <c r="N23" s="346"/>
      <c r="O23" s="15"/>
      <c r="P23" s="16"/>
      <c r="Q23" s="16"/>
      <c r="R23" s="16"/>
      <c r="S23" s="16"/>
      <c r="T23" s="16"/>
      <c r="U23" s="16"/>
      <c r="V23" s="16"/>
      <c r="W23" s="16"/>
      <c r="X23" s="16"/>
      <c r="Y23" s="16"/>
      <c r="Z23" s="17"/>
    </row>
    <row r="24" spans="1:26" s="59" customFormat="1" ht="29.25" hidden="1" customHeight="1">
      <c r="A24" s="8"/>
      <c r="B24" s="11" t="str">
        <f>+IFERROR(VLOOKUP(C24,Listas!$L$8:$M$101,2,FALSE),"")</f>
        <v>10010101</v>
      </c>
      <c r="C24" s="335" t="s">
        <v>471</v>
      </c>
      <c r="D24" s="273"/>
      <c r="E24" s="274"/>
      <c r="F24" s="273"/>
      <c r="G24" s="273"/>
      <c r="H24" s="9" t="str">
        <f>+IF(I24=""," ",VLOOKUP(I24,Listas!$I$8:$J$10,2,FALSE))</f>
        <v xml:space="preserve"> </v>
      </c>
      <c r="I24" s="335"/>
      <c r="J24" s="369" t="str">
        <f>+IF(K24=""," ",VLOOKUP(K24,PUC!$B:$C,2,FALSE))</f>
        <v xml:space="preserve"> </v>
      </c>
      <c r="K24" s="335"/>
      <c r="L24" s="11" t="str">
        <f>+IF(M24=""," ",VLOOKUP(M24,Listas!$F$9:$G$17,2,FALSE))</f>
        <v xml:space="preserve"> </v>
      </c>
      <c r="M24" s="357"/>
      <c r="N24" s="346"/>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35" t="s">
        <v>471</v>
      </c>
      <c r="D25" s="273"/>
      <c r="E25" s="274"/>
      <c r="F25" s="273"/>
      <c r="G25" s="273"/>
      <c r="H25" s="9" t="str">
        <f>+IF(I25=""," ",VLOOKUP(I25,Listas!$I$8:$J$10,2,FALSE))</f>
        <v xml:space="preserve"> </v>
      </c>
      <c r="I25" s="335"/>
      <c r="J25" s="369" t="str">
        <f>+IF(K25=""," ",VLOOKUP(K25,PUC!$B:$C,2,FALSE))</f>
        <v xml:space="preserve"> </v>
      </c>
      <c r="K25" s="335"/>
      <c r="L25" s="11" t="str">
        <f>+IF(M25=""," ",VLOOKUP(M25,Listas!$F$9:$G$17,2,FALSE))</f>
        <v xml:space="preserve"> </v>
      </c>
      <c r="M25" s="357"/>
      <c r="N25" s="346"/>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35" t="s">
        <v>471</v>
      </c>
      <c r="D26" s="273"/>
      <c r="E26" s="274"/>
      <c r="F26" s="273"/>
      <c r="G26" s="273"/>
      <c r="H26" s="9" t="str">
        <f>+IF(I26=""," ",VLOOKUP(I26,Listas!$I$8:$J$10,2,FALSE))</f>
        <v xml:space="preserve"> </v>
      </c>
      <c r="I26" s="335"/>
      <c r="J26" s="369" t="str">
        <f>+IF(K26=""," ",VLOOKUP(K26,PUC!$B:$C,2,FALSE))</f>
        <v xml:space="preserve"> </v>
      </c>
      <c r="K26" s="335"/>
      <c r="L26" s="11" t="str">
        <f>+IF(M26=""," ",VLOOKUP(M26,Listas!$F$9:$G$17,2,FALSE))</f>
        <v xml:space="preserve"> </v>
      </c>
      <c r="M26" s="357"/>
      <c r="N26" s="346"/>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35" t="s">
        <v>471</v>
      </c>
      <c r="D27" s="273"/>
      <c r="E27" s="274"/>
      <c r="F27" s="273"/>
      <c r="G27" s="273"/>
      <c r="H27" s="9" t="str">
        <f>+IF(I27=""," ",VLOOKUP(I27,Listas!$I$8:$J$10,2,FALSE))</f>
        <v xml:space="preserve"> </v>
      </c>
      <c r="I27" s="335"/>
      <c r="J27" s="369" t="str">
        <f>+IF(K27=""," ",VLOOKUP(K27,PUC!$B:$C,2,FALSE))</f>
        <v xml:space="preserve"> </v>
      </c>
      <c r="K27" s="335"/>
      <c r="L27" s="11" t="str">
        <f>+IF(M27=""," ",VLOOKUP(M27,Listas!$F$9:$G$17,2,FALSE))</f>
        <v xml:space="preserve"> </v>
      </c>
      <c r="M27" s="357"/>
      <c r="N27" s="346"/>
      <c r="O27" s="15"/>
      <c r="P27" s="16"/>
      <c r="Q27" s="16"/>
      <c r="R27" s="16"/>
      <c r="S27" s="16"/>
      <c r="T27" s="16"/>
      <c r="U27" s="16"/>
      <c r="V27" s="16"/>
      <c r="W27" s="16"/>
      <c r="X27" s="16"/>
      <c r="Y27" s="16"/>
      <c r="Z27" s="17"/>
    </row>
    <row r="28" spans="1:26" s="59" customFormat="1" ht="29.25" hidden="1" customHeight="1" thickBot="1">
      <c r="A28" s="8"/>
      <c r="B28" s="22" t="str">
        <f>+IFERROR(VLOOKUP(C28,Listas!$L$8:$M$101,2,FALSE),"")</f>
        <v>10010101</v>
      </c>
      <c r="C28" s="341" t="s">
        <v>471</v>
      </c>
      <c r="D28" s="277"/>
      <c r="E28" s="278"/>
      <c r="F28" s="277"/>
      <c r="G28" s="277"/>
      <c r="H28" s="21" t="str">
        <f>+IF(I28=""," ",VLOOKUP(I28,Listas!$I$8:$J$10,2,FALSE))</f>
        <v xml:space="preserve"> </v>
      </c>
      <c r="I28" s="341"/>
      <c r="J28" s="376" t="str">
        <f>+IF(K28=""," ",VLOOKUP(K28,PUC!$B:$C,2,FALSE))</f>
        <v xml:space="preserve"> </v>
      </c>
      <c r="K28" s="341"/>
      <c r="L28" s="22" t="str">
        <f>+IF(M28=""," ",VLOOKUP(M28,Listas!$F$9:$G$17,2,FALSE))</f>
        <v xml:space="preserve"> </v>
      </c>
      <c r="M28" s="359"/>
      <c r="N28" s="348"/>
      <c r="O28" s="23"/>
      <c r="P28" s="24"/>
      <c r="Q28" s="24"/>
      <c r="R28" s="24"/>
      <c r="S28" s="24"/>
      <c r="T28" s="24"/>
      <c r="U28" s="24"/>
      <c r="V28" s="24"/>
      <c r="W28" s="24"/>
      <c r="X28" s="24"/>
      <c r="Y28" s="24"/>
      <c r="Z28" s="25"/>
    </row>
    <row r="29" spans="1:26" s="59" customFormat="1" ht="38.25">
      <c r="A29" s="8"/>
      <c r="B29" s="20" t="str">
        <f>+IFERROR(VLOOKUP(C29,Listas!$L$8:$M$101,2,FALSE),"")</f>
        <v>10010102</v>
      </c>
      <c r="C29" s="340" t="s">
        <v>472</v>
      </c>
      <c r="D29" s="275"/>
      <c r="E29" s="276"/>
      <c r="F29" s="590" t="s">
        <v>1033</v>
      </c>
      <c r="G29" s="374" t="s">
        <v>1015</v>
      </c>
      <c r="H29" s="18" t="str">
        <f>+IF(I29=""," ",VLOOKUP(I29,Listas!$I$8:$J$10,2,FALSE))</f>
        <v xml:space="preserve"> </v>
      </c>
      <c r="I29" s="340"/>
      <c r="J29" s="375" t="str">
        <f>+IF(K29=""," ",VLOOKUP(K29,PUC!$B:$C,2,FALSE))</f>
        <v xml:space="preserve"> </v>
      </c>
      <c r="K29" s="340"/>
      <c r="L29" s="20" t="str">
        <f>+IF(M29=""," ",VLOOKUP(M29,Listas!$F$9:$G$17,2,FALSE))</f>
        <v xml:space="preserve"> </v>
      </c>
      <c r="M29" s="358"/>
      <c r="N29" s="347"/>
      <c r="O29" s="12"/>
      <c r="P29" s="13"/>
      <c r="Q29" s="13"/>
      <c r="R29" s="13"/>
      <c r="S29" s="13"/>
      <c r="T29" s="13"/>
      <c r="U29" s="13"/>
      <c r="V29" s="13"/>
      <c r="W29" s="13"/>
      <c r="X29" s="13"/>
      <c r="Y29" s="13"/>
      <c r="Z29" s="14"/>
    </row>
    <row r="30" spans="1:26" s="59" customFormat="1" ht="38.25">
      <c r="A30" s="8"/>
      <c r="B30" s="11" t="str">
        <f>+IFERROR(VLOOKUP(C30,Listas!$L$8:$M$101,2,FALSE),"")</f>
        <v>10010102</v>
      </c>
      <c r="C30" s="335" t="s">
        <v>472</v>
      </c>
      <c r="D30" s="273"/>
      <c r="E30" s="274"/>
      <c r="F30" s="591"/>
      <c r="G30" s="370" t="s">
        <v>1016</v>
      </c>
      <c r="H30" s="9" t="str">
        <f>+IF(I30=""," ",VLOOKUP(I30,Listas!$I$8:$J$10,2,FALSE))</f>
        <v xml:space="preserve"> </v>
      </c>
      <c r="I30" s="335"/>
      <c r="J30" s="369" t="str">
        <f>+IF(K30=""," ",VLOOKUP(K30,PUC!$B:$C,2,FALSE))</f>
        <v xml:space="preserve"> </v>
      </c>
      <c r="K30" s="335"/>
      <c r="L30" s="11" t="str">
        <f>+IF(M30=""," ",VLOOKUP(M30,Listas!$F$9:$G$17,2,FALSE))</f>
        <v xml:space="preserve"> </v>
      </c>
      <c r="M30" s="357"/>
      <c r="N30" s="346"/>
      <c r="O30" s="15"/>
      <c r="P30" s="16"/>
      <c r="Q30" s="16"/>
      <c r="R30" s="16"/>
      <c r="S30" s="16"/>
      <c r="T30" s="16"/>
      <c r="U30" s="16"/>
      <c r="V30" s="16"/>
      <c r="W30" s="16"/>
      <c r="X30" s="16"/>
      <c r="Y30" s="16"/>
      <c r="Z30" s="17"/>
    </row>
    <row r="31" spans="1:26" s="59" customFormat="1" ht="51">
      <c r="A31" s="8"/>
      <c r="B31" s="11" t="str">
        <f>+IFERROR(VLOOKUP(C31,Listas!$L$8:$M$101,2,FALSE),"")</f>
        <v>10010102</v>
      </c>
      <c r="C31" s="335" t="s">
        <v>472</v>
      </c>
      <c r="D31" s="273"/>
      <c r="E31" s="274"/>
      <c r="F31" s="591"/>
      <c r="G31" s="370" t="s">
        <v>1017</v>
      </c>
      <c r="H31" s="9" t="str">
        <f>+IF(I31=""," ",VLOOKUP(I31,Listas!$I$8:$J$10,2,FALSE))</f>
        <v xml:space="preserve"> </v>
      </c>
      <c r="I31" s="335"/>
      <c r="J31" s="369" t="str">
        <f>+IF(K31=""," ",VLOOKUP(K31,PUC!$B:$C,2,FALSE))</f>
        <v xml:space="preserve"> </v>
      </c>
      <c r="K31" s="335"/>
      <c r="L31" s="11" t="str">
        <f>+IF(M31=""," ",VLOOKUP(M31,Listas!$F$9:$G$17,2,FALSE))</f>
        <v xml:space="preserve"> </v>
      </c>
      <c r="M31" s="357"/>
      <c r="N31" s="346"/>
      <c r="O31" s="15"/>
      <c r="P31" s="16"/>
      <c r="Q31" s="16"/>
      <c r="R31" s="16"/>
      <c r="S31" s="16"/>
      <c r="T31" s="16"/>
      <c r="U31" s="16"/>
      <c r="V31" s="16"/>
      <c r="W31" s="16"/>
      <c r="X31" s="16"/>
      <c r="Y31" s="16"/>
      <c r="Z31" s="17"/>
    </row>
    <row r="32" spans="1:26" s="59" customFormat="1" ht="63.75">
      <c r="A32" s="8"/>
      <c r="B32" s="11" t="str">
        <f>+IFERROR(VLOOKUP(C32,Listas!$L$8:$M$101,2,FALSE),"")</f>
        <v>10010102</v>
      </c>
      <c r="C32" s="335" t="s">
        <v>472</v>
      </c>
      <c r="D32" s="273"/>
      <c r="E32" s="274"/>
      <c r="F32" s="591"/>
      <c r="G32" s="370" t="s">
        <v>1018</v>
      </c>
      <c r="H32" s="9" t="str">
        <f>+IF(I32=""," ",VLOOKUP(I32,Listas!$I$8:$J$10,2,FALSE))</f>
        <v xml:space="preserve"> </v>
      </c>
      <c r="I32" s="335"/>
      <c r="J32" s="369" t="str">
        <f>+IF(K32=""," ",VLOOKUP(K32,PUC!$B:$C,2,FALSE))</f>
        <v xml:space="preserve"> </v>
      </c>
      <c r="K32" s="335"/>
      <c r="L32" s="11" t="str">
        <f>+IF(M32=""," ",VLOOKUP(M32,Listas!$F$9:$G$17,2,FALSE))</f>
        <v xml:space="preserve"> </v>
      </c>
      <c r="M32" s="357"/>
      <c r="N32" s="346"/>
      <c r="O32" s="15"/>
      <c r="P32" s="16"/>
      <c r="Q32" s="16"/>
      <c r="R32" s="16"/>
      <c r="S32" s="16"/>
      <c r="T32" s="16"/>
      <c r="U32" s="16"/>
      <c r="V32" s="16"/>
      <c r="W32" s="16"/>
      <c r="X32" s="16"/>
      <c r="Y32" s="16"/>
      <c r="Z32" s="17"/>
    </row>
    <row r="33" spans="1:26" s="59" customFormat="1" ht="51">
      <c r="A33" s="8"/>
      <c r="B33" s="11" t="str">
        <f>+IFERROR(VLOOKUP(C33,Listas!$L$8:$M$101,2,FALSE),"")</f>
        <v>10010102</v>
      </c>
      <c r="C33" s="335" t="s">
        <v>472</v>
      </c>
      <c r="D33" s="273"/>
      <c r="E33" s="274"/>
      <c r="F33" s="591"/>
      <c r="G33" s="370" t="s">
        <v>1019</v>
      </c>
      <c r="H33" s="9" t="str">
        <f>+IF(I33=""," ",VLOOKUP(I33,Listas!$I$8:$J$10,2,FALSE))</f>
        <v xml:space="preserve"> </v>
      </c>
      <c r="I33" s="335"/>
      <c r="J33" s="369" t="str">
        <f>+IF(K33=""," ",VLOOKUP(K33,PUC!$B:$C,2,FALSE))</f>
        <v xml:space="preserve"> </v>
      </c>
      <c r="K33" s="335"/>
      <c r="L33" s="11" t="str">
        <f>+IF(M33=""," ",VLOOKUP(M33,Listas!$F$9:$G$17,2,FALSE))</f>
        <v xml:space="preserve"> </v>
      </c>
      <c r="M33" s="357"/>
      <c r="N33" s="346"/>
      <c r="O33" s="15"/>
      <c r="P33" s="16"/>
      <c r="Q33" s="16"/>
      <c r="R33" s="16"/>
      <c r="S33" s="16"/>
      <c r="T33" s="16"/>
      <c r="U33" s="16"/>
      <c r="V33" s="16"/>
      <c r="W33" s="16"/>
      <c r="X33" s="16"/>
      <c r="Y33" s="16"/>
      <c r="Z33" s="17"/>
    </row>
    <row r="34" spans="1:26" s="59" customFormat="1" ht="25.5">
      <c r="A34" s="8"/>
      <c r="B34" s="11" t="str">
        <f>+IFERROR(VLOOKUP(C34,Listas!$L$8:$M$101,2,FALSE),"")</f>
        <v>10010102</v>
      </c>
      <c r="C34" s="335" t="s">
        <v>472</v>
      </c>
      <c r="D34" s="273"/>
      <c r="E34" s="274"/>
      <c r="F34" s="591"/>
      <c r="G34" s="370" t="s">
        <v>1020</v>
      </c>
      <c r="H34" s="9" t="str">
        <f>+IF(I34=""," ",VLOOKUP(I34,Listas!$I$8:$J$10,2,FALSE))</f>
        <v xml:space="preserve"> </v>
      </c>
      <c r="I34" s="335"/>
      <c r="J34" s="369" t="str">
        <f>+IF(K34=""," ",VLOOKUP(K34,PUC!$B:$C,2,FALSE))</f>
        <v xml:space="preserve"> </v>
      </c>
      <c r="K34" s="335"/>
      <c r="L34" s="11" t="str">
        <f>+IF(M34=""," ",VLOOKUP(M34,Listas!$F$9:$G$17,2,FALSE))</f>
        <v xml:space="preserve"> </v>
      </c>
      <c r="M34" s="357"/>
      <c r="N34" s="346"/>
      <c r="O34" s="15"/>
      <c r="P34" s="16"/>
      <c r="Q34" s="16"/>
      <c r="R34" s="16"/>
      <c r="S34" s="16"/>
      <c r="T34" s="16"/>
      <c r="U34" s="16"/>
      <c r="V34" s="16"/>
      <c r="W34" s="16"/>
      <c r="X34" s="16"/>
      <c r="Y34" s="16"/>
      <c r="Z34" s="17"/>
    </row>
    <row r="35" spans="1:26" s="59" customFormat="1" ht="25.5">
      <c r="A35" s="8"/>
      <c r="B35" s="11" t="str">
        <f>+IFERROR(VLOOKUP(C35,Listas!$L$8:$M$101,2,FALSE),"")</f>
        <v>10010102</v>
      </c>
      <c r="C35" s="335" t="s">
        <v>472</v>
      </c>
      <c r="D35" s="273"/>
      <c r="E35" s="274"/>
      <c r="F35" s="592"/>
      <c r="G35" s="370" t="s">
        <v>1021</v>
      </c>
      <c r="H35" s="9" t="str">
        <f>+IF(I35=""," ",VLOOKUP(I35,Listas!$I$8:$J$10,2,FALSE))</f>
        <v xml:space="preserve"> </v>
      </c>
      <c r="I35" s="335"/>
      <c r="J35" s="369" t="str">
        <f>+IF(K35=""," ",VLOOKUP(K35,PUC!$B:$C,2,FALSE))</f>
        <v xml:space="preserve"> </v>
      </c>
      <c r="K35" s="335"/>
      <c r="L35" s="11" t="str">
        <f>+IF(M35=""," ",VLOOKUP(M35,Listas!$F$9:$G$17,2,FALSE))</f>
        <v xml:space="preserve"> </v>
      </c>
      <c r="M35" s="357"/>
      <c r="N35" s="346"/>
      <c r="O35" s="15"/>
      <c r="P35" s="16"/>
      <c r="Q35" s="16"/>
      <c r="R35" s="16"/>
      <c r="S35" s="16"/>
      <c r="T35" s="16"/>
      <c r="U35" s="16"/>
      <c r="V35" s="16"/>
      <c r="W35" s="16"/>
      <c r="X35" s="16"/>
      <c r="Y35" s="16"/>
      <c r="Z35" s="17"/>
    </row>
    <row r="36" spans="1:26" s="59" customFormat="1" ht="25.5">
      <c r="A36" s="8"/>
      <c r="B36" s="11" t="str">
        <f>+IFERROR(VLOOKUP(C36,Listas!$L$8:$M$101,2,FALSE),"")</f>
        <v>10010102</v>
      </c>
      <c r="C36" s="335" t="s">
        <v>472</v>
      </c>
      <c r="D36" s="273"/>
      <c r="E36" s="274"/>
      <c r="F36" s="626" t="s">
        <v>1034</v>
      </c>
      <c r="G36" s="391" t="s">
        <v>1022</v>
      </c>
      <c r="H36" s="392" t="str">
        <f>+IF(I36=""," ",VLOOKUP(I36,Listas!$I$8:$J$10,2,FALSE))</f>
        <v>03</v>
      </c>
      <c r="I36" s="394" t="s">
        <v>465</v>
      </c>
      <c r="J36" s="393">
        <f>+IF(K36=""," ",VLOOKUP(K36,PUC!$B:$C,2,FALSE))</f>
        <v>1520050104</v>
      </c>
      <c r="K36" s="394" t="s">
        <v>908</v>
      </c>
      <c r="L36" s="395" t="str">
        <f>+IF(M36=""," ",VLOOKUP(M36,Listas!$F$9:$G$17,2,FALSE))</f>
        <v>02</v>
      </c>
      <c r="M36" s="396" t="s">
        <v>444</v>
      </c>
      <c r="N36" s="397">
        <v>450000</v>
      </c>
      <c r="O36" s="15" t="s">
        <v>1340</v>
      </c>
      <c r="P36" s="16"/>
      <c r="Q36" s="16"/>
      <c r="R36" s="16"/>
      <c r="S36" s="16"/>
      <c r="T36" s="16"/>
      <c r="U36" s="16"/>
      <c r="V36" s="16"/>
      <c r="W36" s="16"/>
      <c r="X36" s="16"/>
      <c r="Y36" s="16"/>
      <c r="Z36" s="17"/>
    </row>
    <row r="37" spans="1:26" s="59" customFormat="1" ht="25.5">
      <c r="A37" s="8"/>
      <c r="B37" s="11" t="str">
        <f>+IFERROR(VLOOKUP(C37,Listas!$L$8:$M$101,2,FALSE),"")</f>
        <v>10010102</v>
      </c>
      <c r="C37" s="335" t="s">
        <v>472</v>
      </c>
      <c r="D37" s="273"/>
      <c r="E37" s="274"/>
      <c r="F37" s="626"/>
      <c r="G37" s="391" t="s">
        <v>1023</v>
      </c>
      <c r="H37" s="392" t="str">
        <f>+IF(I37=""," ",VLOOKUP(I37,Listas!$I$8:$J$10,2,FALSE))</f>
        <v>03</v>
      </c>
      <c r="I37" s="394" t="s">
        <v>465</v>
      </c>
      <c r="J37" s="393">
        <f>+IF(K37=""," ",VLOOKUP(K37,PUC!$B:$C,2,FALSE))</f>
        <v>1528050101</v>
      </c>
      <c r="K37" s="394" t="s">
        <v>914</v>
      </c>
      <c r="L37" s="395" t="str">
        <f>+IF(M37=""," ",VLOOKUP(M37,Listas!$F$9:$G$17,2,FALSE))</f>
        <v>02</v>
      </c>
      <c r="M37" s="396" t="s">
        <v>444</v>
      </c>
      <c r="N37" s="397">
        <v>240000</v>
      </c>
      <c r="O37" s="15" t="s">
        <v>226</v>
      </c>
      <c r="P37" s="16"/>
      <c r="Q37" s="16"/>
      <c r="R37" s="16"/>
      <c r="S37" s="16"/>
      <c r="T37" s="16"/>
      <c r="U37" s="16"/>
      <c r="V37" s="16"/>
      <c r="W37" s="16"/>
      <c r="X37" s="16"/>
      <c r="Y37" s="16"/>
      <c r="Z37" s="17"/>
    </row>
    <row r="38" spans="1:26" s="59" customFormat="1" ht="25.5">
      <c r="A38" s="8"/>
      <c r="B38" s="11" t="str">
        <f>+IFERROR(VLOOKUP(C38,Listas!$L$8:$M$101,2,FALSE),"")</f>
        <v>10010102</v>
      </c>
      <c r="C38" s="335" t="s">
        <v>472</v>
      </c>
      <c r="D38" s="273"/>
      <c r="E38" s="274"/>
      <c r="F38" s="626"/>
      <c r="G38" s="391" t="s">
        <v>1024</v>
      </c>
      <c r="H38" s="392" t="str">
        <f>+IF(I38=""," ",VLOOKUP(I38,Listas!$I$8:$J$10,2,FALSE))</f>
        <v>04</v>
      </c>
      <c r="I38" s="394" t="s">
        <v>466</v>
      </c>
      <c r="J38" s="393">
        <f>+IF(K38=""," ",VLOOKUP(K38,PUC!$B:$C,2,FALSE))</f>
        <v>6208021701</v>
      </c>
      <c r="K38" s="394" t="s">
        <v>983</v>
      </c>
      <c r="L38" s="395" t="str">
        <f>+IF(M38=""," ",VLOOKUP(M38,Listas!$F$9:$G$17,2,FALSE))</f>
        <v>02</v>
      </c>
      <c r="M38" s="396" t="s">
        <v>444</v>
      </c>
      <c r="N38" s="397">
        <v>300000</v>
      </c>
      <c r="O38" s="15" t="s">
        <v>1341</v>
      </c>
      <c r="P38" s="16"/>
      <c r="Q38" s="16"/>
      <c r="R38" s="16"/>
      <c r="S38" s="16"/>
      <c r="T38" s="16"/>
      <c r="U38" s="16"/>
      <c r="V38" s="16"/>
      <c r="W38" s="16"/>
      <c r="X38" s="16"/>
      <c r="Y38" s="16"/>
      <c r="Z38" s="17"/>
    </row>
    <row r="39" spans="1:26" s="59" customFormat="1" ht="25.5">
      <c r="A39" s="8"/>
      <c r="B39" s="11" t="str">
        <f>+IFERROR(VLOOKUP(C39,Listas!$L$8:$M$101,2,FALSE),"")</f>
        <v>10010102</v>
      </c>
      <c r="C39" s="335" t="s">
        <v>472</v>
      </c>
      <c r="D39" s="273"/>
      <c r="E39" s="274"/>
      <c r="F39" s="589" t="s">
        <v>1035</v>
      </c>
      <c r="G39" s="370" t="s">
        <v>1025</v>
      </c>
      <c r="H39" s="9" t="str">
        <f>+IF(I39=""," ",VLOOKUP(I39,Listas!$I$8:$J$10,2,FALSE))</f>
        <v xml:space="preserve"> </v>
      </c>
      <c r="I39" s="335"/>
      <c r="J39" s="369" t="str">
        <f>+IF(K39=""," ",VLOOKUP(K39,PUC!$B:$C,2,FALSE))</f>
        <v xml:space="preserve"> </v>
      </c>
      <c r="K39" s="335"/>
      <c r="L39" s="11" t="str">
        <f>+IF(M39=""," ",VLOOKUP(M39,Listas!$F$9:$G$17,2,FALSE))</f>
        <v xml:space="preserve"> </v>
      </c>
      <c r="M39" s="357"/>
      <c r="N39" s="346"/>
      <c r="O39" s="15"/>
      <c r="P39" s="16"/>
      <c r="Q39" s="16"/>
      <c r="R39" s="16"/>
      <c r="S39" s="16"/>
      <c r="T39" s="16"/>
      <c r="U39" s="16"/>
      <c r="V39" s="16"/>
      <c r="W39" s="16"/>
      <c r="X39" s="16"/>
      <c r="Y39" s="16"/>
      <c r="Z39" s="17"/>
    </row>
    <row r="40" spans="1:26" s="59" customFormat="1" ht="38.25">
      <c r="A40" s="8"/>
      <c r="B40" s="11" t="str">
        <f>+IFERROR(VLOOKUP(C40,Listas!$L$8:$M$101,2,FALSE),"")</f>
        <v>10010102</v>
      </c>
      <c r="C40" s="335" t="s">
        <v>472</v>
      </c>
      <c r="D40" s="273"/>
      <c r="E40" s="274"/>
      <c r="F40" s="589"/>
      <c r="G40" s="370" t="s">
        <v>1026</v>
      </c>
      <c r="H40" s="9" t="str">
        <f>+IF(I40=""," ",VLOOKUP(I40,Listas!$I$8:$J$10,2,FALSE))</f>
        <v xml:space="preserve"> </v>
      </c>
      <c r="I40" s="335"/>
      <c r="J40" s="369" t="str">
        <f>+IF(K40=""," ",VLOOKUP(K40,PUC!$B:$C,2,FALSE))</f>
        <v xml:space="preserve"> </v>
      </c>
      <c r="K40" s="335"/>
      <c r="L40" s="11" t="str">
        <f>+IF(M40=""," ",VLOOKUP(M40,Listas!$F$9:$G$17,2,FALSE))</f>
        <v xml:space="preserve"> </v>
      </c>
      <c r="M40" s="357"/>
      <c r="N40" s="346"/>
      <c r="O40" s="15"/>
      <c r="P40" s="16"/>
      <c r="Q40" s="16"/>
      <c r="R40" s="16"/>
      <c r="S40" s="16"/>
      <c r="T40" s="16"/>
      <c r="U40" s="16"/>
      <c r="V40" s="16"/>
      <c r="W40" s="16"/>
      <c r="X40" s="16"/>
      <c r="Y40" s="16"/>
      <c r="Z40" s="17"/>
    </row>
    <row r="41" spans="1:26" s="59" customFormat="1" ht="38.25">
      <c r="A41" s="8"/>
      <c r="B41" s="11" t="str">
        <f>+IFERROR(VLOOKUP(C41,Listas!$L$8:$M$101,2,FALSE),"")</f>
        <v>10010102</v>
      </c>
      <c r="C41" s="335" t="s">
        <v>472</v>
      </c>
      <c r="D41" s="273"/>
      <c r="E41" s="274"/>
      <c r="F41" s="589" t="s">
        <v>1036</v>
      </c>
      <c r="G41" s="391" t="s">
        <v>1027</v>
      </c>
      <c r="H41" s="392" t="str">
        <f>+IF(I41=""," ",VLOOKUP(I41,Listas!$I$8:$J$10,2,FALSE))</f>
        <v>02</v>
      </c>
      <c r="I41" s="394" t="s">
        <v>464</v>
      </c>
      <c r="J41" s="393">
        <f>+IF(K41=""," ",VLOOKUP(K41,PUC!$B:$C,2,FALSE))</f>
        <v>6208020203</v>
      </c>
      <c r="K41" s="394" t="s">
        <v>811</v>
      </c>
      <c r="L41" s="395" t="str">
        <f>+IF(M41=""," ",VLOOKUP(M41,Listas!$F$9:$G$17,2,FALSE))</f>
        <v>02</v>
      </c>
      <c r="M41" s="396" t="s">
        <v>444</v>
      </c>
      <c r="N41" s="397">
        <v>1200000</v>
      </c>
      <c r="O41" s="15" t="s">
        <v>1339</v>
      </c>
      <c r="P41" s="16"/>
      <c r="Q41" s="16"/>
      <c r="R41" s="16"/>
      <c r="S41" s="16"/>
      <c r="T41" s="16"/>
      <c r="U41" s="16"/>
      <c r="V41" s="16"/>
      <c r="W41" s="16"/>
      <c r="X41" s="16"/>
      <c r="Y41" s="16"/>
      <c r="Z41" s="17"/>
    </row>
    <row r="42" spans="1:26" s="59" customFormat="1" ht="38.25">
      <c r="A42" s="8"/>
      <c r="B42" s="11" t="str">
        <f>+IFERROR(VLOOKUP(C42,Listas!$L$8:$M$101,2,FALSE),"")</f>
        <v>10010102</v>
      </c>
      <c r="C42" s="335" t="s">
        <v>472</v>
      </c>
      <c r="D42" s="273"/>
      <c r="E42" s="274"/>
      <c r="F42" s="589"/>
      <c r="G42" s="370" t="s">
        <v>1028</v>
      </c>
      <c r="H42" s="9" t="str">
        <f>+IF(I42=""," ",VLOOKUP(I42,Listas!$I$8:$J$10,2,FALSE))</f>
        <v xml:space="preserve"> </v>
      </c>
      <c r="I42" s="335"/>
      <c r="J42" s="369" t="str">
        <f>+IF(K42=""," ",VLOOKUP(K42,PUC!$B:$C,2,FALSE))</f>
        <v xml:space="preserve"> </v>
      </c>
      <c r="K42" s="335"/>
      <c r="L42" s="11" t="str">
        <f>+IF(M42=""," ",VLOOKUP(M42,Listas!$F$9:$G$17,2,FALSE))</f>
        <v xml:space="preserve"> </v>
      </c>
      <c r="M42" s="357"/>
      <c r="N42" s="346"/>
      <c r="O42" s="15"/>
      <c r="P42" s="16"/>
      <c r="Q42" s="16"/>
      <c r="R42" s="16"/>
      <c r="S42" s="16"/>
      <c r="T42" s="16"/>
      <c r="U42" s="16"/>
      <c r="V42" s="16"/>
      <c r="W42" s="16"/>
      <c r="X42" s="16"/>
      <c r="Y42" s="16"/>
      <c r="Z42" s="17"/>
    </row>
    <row r="43" spans="1:26" s="59" customFormat="1" ht="38.25">
      <c r="A43" s="8"/>
      <c r="B43" s="11" t="str">
        <f>+IFERROR(VLOOKUP(C43,Listas!$L$8:$M$101,2,FALSE),"")</f>
        <v>10010102</v>
      </c>
      <c r="C43" s="335" t="s">
        <v>472</v>
      </c>
      <c r="D43" s="273"/>
      <c r="E43" s="274"/>
      <c r="F43" s="589"/>
      <c r="G43" s="370" t="s">
        <v>1029</v>
      </c>
      <c r="H43" s="9" t="str">
        <f>+IF(I43=""," ",VLOOKUP(I43,Listas!$I$8:$J$10,2,FALSE))</f>
        <v xml:space="preserve"> </v>
      </c>
      <c r="I43" s="335"/>
      <c r="J43" s="369" t="str">
        <f>+IF(K43=""," ",VLOOKUP(K43,PUC!$B:$C,2,FALSE))</f>
        <v xml:space="preserve"> </v>
      </c>
      <c r="K43" s="335"/>
      <c r="L43" s="11" t="str">
        <f>+IF(M43=""," ",VLOOKUP(M43,Listas!$F$9:$G$17,2,FALSE))</f>
        <v xml:space="preserve"> </v>
      </c>
      <c r="M43" s="357"/>
      <c r="N43" s="346"/>
      <c r="O43" s="15"/>
      <c r="P43" s="16"/>
      <c r="Q43" s="16"/>
      <c r="R43" s="16"/>
      <c r="S43" s="16"/>
      <c r="T43" s="16"/>
      <c r="U43" s="16"/>
      <c r="V43" s="16"/>
      <c r="W43" s="16"/>
      <c r="X43" s="16"/>
      <c r="Y43" s="16"/>
      <c r="Z43" s="17"/>
    </row>
    <row r="44" spans="1:26" s="59" customFormat="1" ht="25.5">
      <c r="A44" s="8"/>
      <c r="B44" s="11" t="str">
        <f>+IFERROR(VLOOKUP(C44,Listas!$L$8:$M$101,2,FALSE),"")</f>
        <v>10010102</v>
      </c>
      <c r="C44" s="335" t="s">
        <v>472</v>
      </c>
      <c r="D44" s="273"/>
      <c r="E44" s="274"/>
      <c r="F44" s="589"/>
      <c r="G44" s="370" t="s">
        <v>1030</v>
      </c>
      <c r="H44" s="9" t="str">
        <f>+IF(I44=""," ",VLOOKUP(I44,Listas!$I$8:$J$10,2,FALSE))</f>
        <v xml:space="preserve"> </v>
      </c>
      <c r="I44" s="335"/>
      <c r="J44" s="369" t="str">
        <f>+IF(K44=""," ",VLOOKUP(K44,PUC!$B:$C,2,FALSE))</f>
        <v xml:space="preserve"> </v>
      </c>
      <c r="K44" s="335"/>
      <c r="L44" s="11" t="str">
        <f>+IF(M44=""," ",VLOOKUP(M44,Listas!$F$9:$G$17,2,FALSE))</f>
        <v xml:space="preserve"> </v>
      </c>
      <c r="M44" s="357"/>
      <c r="N44" s="346"/>
      <c r="O44" s="15"/>
      <c r="P44" s="16"/>
      <c r="Q44" s="16"/>
      <c r="R44" s="16"/>
      <c r="S44" s="16"/>
      <c r="T44" s="16"/>
      <c r="U44" s="16"/>
      <c r="V44" s="16"/>
      <c r="W44" s="16"/>
      <c r="X44" s="16"/>
      <c r="Y44" s="16"/>
      <c r="Z44" s="17"/>
    </row>
    <row r="45" spans="1:26" s="59" customFormat="1" ht="25.5">
      <c r="A45" s="8"/>
      <c r="B45" s="11" t="str">
        <f>+IFERROR(VLOOKUP(C45,Listas!$L$8:$M$101,2,FALSE),"")</f>
        <v>10010102</v>
      </c>
      <c r="C45" s="335" t="s">
        <v>472</v>
      </c>
      <c r="D45" s="273"/>
      <c r="E45" s="274"/>
      <c r="F45" s="589" t="s">
        <v>1037</v>
      </c>
      <c r="G45" s="370" t="s">
        <v>1031</v>
      </c>
      <c r="H45" s="9" t="str">
        <f>+IF(I45=""," ",VLOOKUP(I45,Listas!$I$8:$J$10,2,FALSE))</f>
        <v xml:space="preserve"> </v>
      </c>
      <c r="I45" s="335"/>
      <c r="J45" s="369" t="str">
        <f>+IF(K45=""," ",VLOOKUP(K45,PUC!$B:$C,2,FALSE))</f>
        <v xml:space="preserve"> </v>
      </c>
      <c r="K45" s="335"/>
      <c r="L45" s="11" t="str">
        <f>+IF(M45=""," ",VLOOKUP(M45,Listas!$F$9:$G$17,2,FALSE))</f>
        <v xml:space="preserve"> </v>
      </c>
      <c r="M45" s="357"/>
      <c r="N45" s="346"/>
      <c r="O45" s="15"/>
      <c r="P45" s="16"/>
      <c r="Q45" s="16"/>
      <c r="R45" s="16"/>
      <c r="S45" s="16"/>
      <c r="T45" s="16"/>
      <c r="U45" s="16"/>
      <c r="V45" s="16"/>
      <c r="W45" s="16"/>
      <c r="X45" s="16"/>
      <c r="Y45" s="16"/>
      <c r="Z45" s="17"/>
    </row>
    <row r="46" spans="1:26" s="59" customFormat="1" ht="25.5">
      <c r="A46" s="8"/>
      <c r="B46" s="11" t="str">
        <f>+IFERROR(VLOOKUP(C46,Listas!$L$8:$M$101,2,FALSE),"")</f>
        <v>10010102</v>
      </c>
      <c r="C46" s="335" t="s">
        <v>472</v>
      </c>
      <c r="D46" s="273"/>
      <c r="E46" s="274"/>
      <c r="F46" s="589"/>
      <c r="G46" s="370" t="s">
        <v>1032</v>
      </c>
      <c r="H46" s="9" t="str">
        <f>+IF(I46=""," ",VLOOKUP(I46,Listas!$I$8:$J$10,2,FALSE))</f>
        <v xml:space="preserve"> </v>
      </c>
      <c r="I46" s="335"/>
      <c r="J46" s="369" t="str">
        <f>+IF(K46=""," ",VLOOKUP(K46,PUC!$B:$C,2,FALSE))</f>
        <v xml:space="preserve"> </v>
      </c>
      <c r="K46" s="335"/>
      <c r="L46" s="11" t="str">
        <f>+IF(M46=""," ",VLOOKUP(M46,Listas!$F$9:$G$17,2,FALSE))</f>
        <v xml:space="preserve"> </v>
      </c>
      <c r="M46" s="357"/>
      <c r="N46" s="346"/>
      <c r="O46" s="15"/>
      <c r="P46" s="16"/>
      <c r="Q46" s="16"/>
      <c r="R46" s="16"/>
      <c r="S46" s="16"/>
      <c r="T46" s="16"/>
      <c r="U46" s="16"/>
      <c r="V46" s="16"/>
      <c r="W46" s="16"/>
      <c r="X46" s="16"/>
      <c r="Y46" s="16"/>
      <c r="Z46" s="17"/>
    </row>
    <row r="47" spans="1:26" s="59" customFormat="1" ht="29.25" customHeight="1">
      <c r="A47" s="8"/>
      <c r="B47" s="11" t="str">
        <f>+IFERROR(VLOOKUP(C47,Listas!$L$8:$M$101,2,FALSE),"")</f>
        <v>10010102</v>
      </c>
      <c r="C47" s="335" t="s">
        <v>472</v>
      </c>
      <c r="D47" s="273"/>
      <c r="E47" s="274"/>
      <c r="F47" s="273"/>
      <c r="G47" s="274"/>
      <c r="H47" s="9" t="str">
        <f>+IF(I47=""," ",VLOOKUP(I47,Listas!$I$8:$J$10,2,FALSE))</f>
        <v xml:space="preserve"> </v>
      </c>
      <c r="I47" s="335"/>
      <c r="J47" s="369" t="str">
        <f>+IF(K47=""," ",VLOOKUP(K47,PUC!$B:$C,2,FALSE))</f>
        <v xml:space="preserve"> </v>
      </c>
      <c r="K47" s="335"/>
      <c r="L47" s="11" t="str">
        <f>+IF(M47=""," ",VLOOKUP(M47,Listas!$F$9:$G$17,2,FALSE))</f>
        <v xml:space="preserve"> </v>
      </c>
      <c r="M47" s="357"/>
      <c r="N47" s="346"/>
      <c r="O47" s="15"/>
      <c r="P47" s="16"/>
      <c r="Q47" s="16"/>
      <c r="R47" s="16"/>
      <c r="S47" s="16"/>
      <c r="T47" s="16"/>
      <c r="U47" s="16"/>
      <c r="V47" s="16"/>
      <c r="W47" s="16"/>
      <c r="X47" s="16"/>
      <c r="Y47" s="16"/>
      <c r="Z47" s="17"/>
    </row>
    <row r="48" spans="1:26" s="59" customFormat="1" ht="29.25" customHeight="1" thickBot="1">
      <c r="A48" s="8"/>
      <c r="B48" s="28" t="str">
        <f>+IFERROR(VLOOKUP(C48,Listas!$L$8:$M$101,2,FALSE),"")</f>
        <v>10010102</v>
      </c>
      <c r="C48" s="342" t="s">
        <v>472</v>
      </c>
      <c r="D48" s="279"/>
      <c r="E48" s="280"/>
      <c r="F48" s="279"/>
      <c r="G48" s="280"/>
      <c r="H48" s="26" t="str">
        <f>+IF(I48=""," ",VLOOKUP(I48,Listas!$I$8:$J$10,2,FALSE))</f>
        <v xml:space="preserve"> </v>
      </c>
      <c r="I48" s="342"/>
      <c r="J48" s="398" t="str">
        <f>+IF(K48=""," ",VLOOKUP(K48,PUC!$B:$C,2,FALSE))</f>
        <v xml:space="preserve"> </v>
      </c>
      <c r="K48" s="342"/>
      <c r="L48" s="28" t="str">
        <f>+IF(M48=""," ",VLOOKUP(M48,Listas!$F$9:$G$17,2,FALSE))</f>
        <v xml:space="preserve"> </v>
      </c>
      <c r="M48" s="360"/>
      <c r="N48" s="349"/>
      <c r="O48" s="29"/>
      <c r="P48" s="30"/>
      <c r="Q48" s="30"/>
      <c r="R48" s="30"/>
      <c r="S48" s="30"/>
      <c r="T48" s="30"/>
      <c r="U48" s="30"/>
      <c r="V48" s="30"/>
      <c r="W48" s="30"/>
      <c r="X48" s="30"/>
      <c r="Y48" s="30"/>
      <c r="Z48" s="31"/>
    </row>
    <row r="49" spans="1:26" s="59" customFormat="1" ht="29.25" customHeight="1">
      <c r="A49" s="8"/>
      <c r="B49" s="20" t="str">
        <f>+IFERROR(VLOOKUP(C49,Listas!$L$8:$M$101,2,FALSE),"")</f>
        <v>10020101</v>
      </c>
      <c r="C49" s="340" t="s">
        <v>473</v>
      </c>
      <c r="D49" s="586" t="s">
        <v>1043</v>
      </c>
      <c r="E49" s="276"/>
      <c r="F49" s="582" t="s">
        <v>1038</v>
      </c>
      <c r="G49" s="374" t="s">
        <v>1351</v>
      </c>
      <c r="H49" s="18" t="str">
        <f>+IF(I49=""," ",VLOOKUP(I49,Listas!$I$8:$J$10,2,FALSE))</f>
        <v>04</v>
      </c>
      <c r="I49" s="340" t="s">
        <v>466</v>
      </c>
      <c r="J49" s="375">
        <f>+IF(K49=""," ",VLOOKUP(K49,PUC!$B:$C,2,FALSE))</f>
        <v>6208100302</v>
      </c>
      <c r="K49" s="340" t="s">
        <v>975</v>
      </c>
      <c r="L49" s="20" t="str">
        <f>+IF(M49=""," ",VLOOKUP(M49,Listas!$F$9:$G$17,2,FALSE))</f>
        <v>02</v>
      </c>
      <c r="M49" s="358" t="s">
        <v>444</v>
      </c>
      <c r="N49" s="347"/>
      <c r="O49" s="12"/>
      <c r="P49" s="13"/>
      <c r="Q49" s="13"/>
      <c r="R49" s="13"/>
      <c r="S49" s="13"/>
      <c r="T49" s="13"/>
      <c r="U49" s="13"/>
      <c r="V49" s="13"/>
      <c r="W49" s="13"/>
      <c r="X49" s="13"/>
      <c r="Y49" s="13"/>
      <c r="Z49" s="14"/>
    </row>
    <row r="50" spans="1:26" s="59" customFormat="1" ht="38.25">
      <c r="A50" s="8"/>
      <c r="B50" s="11" t="str">
        <f>+IFERROR(VLOOKUP(C50,Listas!$L$8:$M$101,2,FALSE),"")</f>
        <v>10020101</v>
      </c>
      <c r="C50" s="335" t="s">
        <v>473</v>
      </c>
      <c r="D50" s="587"/>
      <c r="E50" s="274"/>
      <c r="F50" s="583"/>
      <c r="G50" s="370" t="s">
        <v>1042</v>
      </c>
      <c r="H50" s="9" t="str">
        <f>+IF(I50=""," ",VLOOKUP(I50,Listas!$I$8:$J$10,2,FALSE))</f>
        <v>04</v>
      </c>
      <c r="I50" s="335" t="s">
        <v>466</v>
      </c>
      <c r="J50" s="369">
        <f>+IF(K50=""," ",VLOOKUP(K50,PUC!$B:$C,2,FALSE))</f>
        <v>6208100302</v>
      </c>
      <c r="K50" s="335" t="s">
        <v>975</v>
      </c>
      <c r="L50" s="11" t="str">
        <f>+IF(M50=""," ",VLOOKUP(M50,Listas!$F$9:$G$17,2,FALSE))</f>
        <v>02</v>
      </c>
      <c r="M50" s="357" t="s">
        <v>444</v>
      </c>
      <c r="N50" s="346"/>
      <c r="O50" s="15"/>
      <c r="P50" s="16"/>
      <c r="Q50" s="16"/>
      <c r="R50" s="16"/>
      <c r="S50" s="16"/>
      <c r="T50" s="16"/>
      <c r="U50" s="16"/>
      <c r="V50" s="16"/>
      <c r="W50" s="16"/>
      <c r="X50" s="16"/>
      <c r="Y50" s="16"/>
      <c r="Z50" s="17"/>
    </row>
    <row r="51" spans="1:26" s="59" customFormat="1" ht="25.5">
      <c r="A51" s="8"/>
      <c r="B51" s="11" t="str">
        <f>+IFERROR(VLOOKUP(C51,Listas!$L$8:$M$101,2,FALSE),"")</f>
        <v>10020101</v>
      </c>
      <c r="C51" s="335" t="s">
        <v>473</v>
      </c>
      <c r="D51" s="588"/>
      <c r="E51" s="274"/>
      <c r="F51" s="584"/>
      <c r="G51" s="370" t="s">
        <v>1039</v>
      </c>
      <c r="H51" s="9" t="str">
        <f>+IF(I51=""," ",VLOOKUP(I51,Listas!$I$8:$J$10,2,FALSE))</f>
        <v xml:space="preserve"> </v>
      </c>
      <c r="I51" s="335"/>
      <c r="J51" s="369" t="str">
        <f>+IF(K51=""," ",VLOOKUP(K51,PUC!$B:$C,2,FALSE))</f>
        <v xml:space="preserve"> </v>
      </c>
      <c r="K51" s="335"/>
      <c r="L51" s="11" t="str">
        <f>+IF(M51=""," ",VLOOKUP(M51,Listas!$F$9:$G$17,2,FALSE))</f>
        <v xml:space="preserve"> </v>
      </c>
      <c r="M51" s="357"/>
      <c r="N51" s="346"/>
      <c r="O51" s="15"/>
      <c r="P51" s="16"/>
      <c r="Q51" s="16"/>
      <c r="R51" s="16"/>
      <c r="S51" s="16"/>
      <c r="T51" s="16"/>
      <c r="U51" s="16"/>
      <c r="V51" s="16"/>
      <c r="W51" s="16"/>
      <c r="X51" s="16"/>
      <c r="Y51" s="16"/>
      <c r="Z51" s="17"/>
    </row>
    <row r="52" spans="1:26" s="59" customFormat="1" ht="64.5" thickBot="1">
      <c r="A52" s="8"/>
      <c r="B52" s="11" t="str">
        <f>+IFERROR(VLOOKUP(C52,Listas!$L$8:$M$101,2,FALSE),"")</f>
        <v>10020101</v>
      </c>
      <c r="C52" s="335" t="s">
        <v>473</v>
      </c>
      <c r="D52" s="273"/>
      <c r="E52" s="274"/>
      <c r="F52" s="370" t="s">
        <v>1040</v>
      </c>
      <c r="G52" s="370" t="s">
        <v>1041</v>
      </c>
      <c r="H52" s="9" t="str">
        <f>+IF(I52=""," ",VLOOKUP(I52,Listas!$I$8:$J$10,2,FALSE))</f>
        <v xml:space="preserve"> </v>
      </c>
      <c r="I52" s="335"/>
      <c r="J52" s="369" t="str">
        <f>+IF(K52=""," ",VLOOKUP(K52,PUC!$B:$C,2,FALSE))</f>
        <v xml:space="preserve"> </v>
      </c>
      <c r="K52" s="335"/>
      <c r="L52" s="11" t="str">
        <f>+IF(M52=""," ",VLOOKUP(M52,Listas!$F$9:$G$17,2,FALSE))</f>
        <v xml:space="preserve"> </v>
      </c>
      <c r="M52" s="357"/>
      <c r="N52" s="346"/>
      <c r="O52" s="15"/>
      <c r="P52" s="16"/>
      <c r="Q52" s="16"/>
      <c r="R52" s="16"/>
      <c r="S52" s="16"/>
      <c r="T52" s="16"/>
      <c r="U52" s="16"/>
      <c r="V52" s="16"/>
      <c r="W52" s="16"/>
      <c r="X52" s="16"/>
      <c r="Y52" s="16"/>
      <c r="Z52" s="17"/>
    </row>
    <row r="53" spans="1:26" s="59" customFormat="1" ht="18" hidden="1">
      <c r="A53" s="8"/>
      <c r="B53" s="11" t="str">
        <f>+IFERROR(VLOOKUP(C53,Listas!$L$8:$M$101,2,FALSE),"")</f>
        <v>10020101</v>
      </c>
      <c r="C53" s="335" t="s">
        <v>473</v>
      </c>
      <c r="D53" s="273"/>
      <c r="E53" s="274"/>
      <c r="F53" s="273"/>
      <c r="G53" s="370"/>
      <c r="H53" s="9" t="str">
        <f>+IF(I53=""," ",VLOOKUP(I53,Listas!$I$8:$J$10,2,FALSE))</f>
        <v xml:space="preserve"> </v>
      </c>
      <c r="I53" s="335"/>
      <c r="J53" s="369" t="str">
        <f>+IF(K53=""," ",VLOOKUP(K53,PUC!$B:$C,2,FALSE))</f>
        <v xml:space="preserve"> </v>
      </c>
      <c r="K53" s="335"/>
      <c r="L53" s="11" t="str">
        <f>+IF(M53=""," ",VLOOKUP(M53,Listas!$F$9:$G$17,2,FALSE))</f>
        <v xml:space="preserve"> </v>
      </c>
      <c r="M53" s="357"/>
      <c r="N53" s="346"/>
      <c r="O53" s="15"/>
      <c r="P53" s="16"/>
      <c r="Q53" s="16"/>
      <c r="R53" s="16"/>
      <c r="S53" s="16"/>
      <c r="T53" s="16"/>
      <c r="U53" s="16"/>
      <c r="V53" s="16"/>
      <c r="W53" s="16"/>
      <c r="X53" s="16"/>
      <c r="Y53" s="16"/>
      <c r="Z53" s="17"/>
    </row>
    <row r="54" spans="1:26" s="59" customFormat="1" ht="29.25" hidden="1" customHeight="1">
      <c r="A54" s="8"/>
      <c r="B54" s="11" t="str">
        <f>+IFERROR(VLOOKUP(C54,Listas!$L$8:$M$101,2,FALSE),"")</f>
        <v>10020101</v>
      </c>
      <c r="C54" s="335" t="s">
        <v>473</v>
      </c>
      <c r="D54" s="273"/>
      <c r="E54" s="274"/>
      <c r="F54" s="273"/>
      <c r="G54" s="370"/>
      <c r="H54" s="9" t="str">
        <f>+IF(I54=""," ",VLOOKUP(I54,Listas!$I$8:$J$10,2,FALSE))</f>
        <v xml:space="preserve"> </v>
      </c>
      <c r="I54" s="335"/>
      <c r="J54" s="369" t="str">
        <f>+IF(K54=""," ",VLOOKUP(K54,PUC!$B:$C,2,FALSE))</f>
        <v xml:space="preserve"> </v>
      </c>
      <c r="K54" s="335"/>
      <c r="L54" s="11" t="str">
        <f>+IF(M54=""," ",VLOOKUP(M54,Listas!$F$9:$G$17,2,FALSE))</f>
        <v xml:space="preserve"> </v>
      </c>
      <c r="M54" s="357"/>
      <c r="N54" s="346"/>
      <c r="O54" s="15"/>
      <c r="P54" s="16"/>
      <c r="Q54" s="16"/>
      <c r="R54" s="16"/>
      <c r="S54" s="16"/>
      <c r="T54" s="16"/>
      <c r="U54" s="16"/>
      <c r="V54" s="16"/>
      <c r="W54" s="16"/>
      <c r="X54" s="16"/>
      <c r="Y54" s="16"/>
      <c r="Z54" s="17"/>
    </row>
    <row r="55" spans="1:26" s="59" customFormat="1" ht="29.25" hidden="1" customHeight="1">
      <c r="A55" s="8"/>
      <c r="B55" s="11" t="str">
        <f>+IFERROR(VLOOKUP(C55,Listas!$L$8:$M$101,2,FALSE),"")</f>
        <v>10020101</v>
      </c>
      <c r="C55" s="335" t="s">
        <v>473</v>
      </c>
      <c r="D55" s="273"/>
      <c r="E55" s="274"/>
      <c r="F55" s="273"/>
      <c r="G55" s="370"/>
      <c r="H55" s="9" t="str">
        <f>+IF(I55=""," ",VLOOKUP(I55,Listas!$I$8:$J$10,2,FALSE))</f>
        <v xml:space="preserve"> </v>
      </c>
      <c r="I55" s="335"/>
      <c r="J55" s="369" t="str">
        <f>+IF(K55=""," ",VLOOKUP(K55,PUC!$B:$C,2,FALSE))</f>
        <v xml:space="preserve"> </v>
      </c>
      <c r="K55" s="335"/>
      <c r="L55" s="11" t="str">
        <f>+IF(M55=""," ",VLOOKUP(M55,Listas!$F$9:$G$17,2,FALSE))</f>
        <v xml:space="preserve"> </v>
      </c>
      <c r="M55" s="357"/>
      <c r="N55" s="346"/>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35" t="s">
        <v>473</v>
      </c>
      <c r="D56" s="273"/>
      <c r="E56" s="274"/>
      <c r="F56" s="273"/>
      <c r="G56" s="274"/>
      <c r="H56" s="9" t="str">
        <f>+IF(I56=""," ",VLOOKUP(I56,Listas!$I$8:$J$10,2,FALSE))</f>
        <v xml:space="preserve"> </v>
      </c>
      <c r="I56" s="335"/>
      <c r="J56" s="369" t="str">
        <f>+IF(K56=""," ",VLOOKUP(K56,PUC!$B:$C,2,FALSE))</f>
        <v xml:space="preserve"> </v>
      </c>
      <c r="K56" s="335"/>
      <c r="L56" s="11" t="str">
        <f>+IF(M56=""," ",VLOOKUP(M56,Listas!$F$9:$G$17,2,FALSE))</f>
        <v xml:space="preserve"> </v>
      </c>
      <c r="M56" s="357"/>
      <c r="N56" s="346"/>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35" t="s">
        <v>473</v>
      </c>
      <c r="D57" s="273"/>
      <c r="E57" s="274"/>
      <c r="F57" s="273"/>
      <c r="G57" s="274"/>
      <c r="H57" s="9" t="str">
        <f>+IF(I57=""," ",VLOOKUP(I57,Listas!$I$8:$J$10,2,FALSE))</f>
        <v xml:space="preserve"> </v>
      </c>
      <c r="I57" s="335"/>
      <c r="J57" s="369" t="str">
        <f>+IF(K57=""," ",VLOOKUP(K57,PUC!$B:$C,2,FALSE))</f>
        <v xml:space="preserve"> </v>
      </c>
      <c r="K57" s="335"/>
      <c r="L57" s="11" t="str">
        <f>+IF(M57=""," ",VLOOKUP(M57,Listas!$F$9:$G$17,2,FALSE))</f>
        <v xml:space="preserve"> </v>
      </c>
      <c r="M57" s="357"/>
      <c r="N57" s="346"/>
      <c r="O57" s="15"/>
      <c r="P57" s="16"/>
      <c r="Q57" s="16"/>
      <c r="R57" s="16"/>
      <c r="S57" s="16"/>
      <c r="T57" s="16"/>
      <c r="U57" s="16"/>
      <c r="V57" s="16"/>
      <c r="W57" s="16"/>
      <c r="X57" s="16"/>
      <c r="Y57" s="16"/>
      <c r="Z57" s="17"/>
    </row>
    <row r="58" spans="1:26" s="59" customFormat="1" ht="29.25" hidden="1" customHeight="1" thickBot="1">
      <c r="A58" s="8"/>
      <c r="B58" s="22" t="str">
        <f>+IFERROR(VLOOKUP(C58,Listas!$L$8:$M$101,2,FALSE),"")</f>
        <v>10020101</v>
      </c>
      <c r="C58" s="341" t="s">
        <v>473</v>
      </c>
      <c r="D58" s="277"/>
      <c r="E58" s="278"/>
      <c r="F58" s="399"/>
      <c r="G58" s="400"/>
      <c r="H58" s="21" t="str">
        <f>+IF(I58=""," ",VLOOKUP(I58,Listas!$I$8:$J$10,2,FALSE))</f>
        <v xml:space="preserve"> </v>
      </c>
      <c r="I58" s="341"/>
      <c r="J58" s="376" t="str">
        <f>+IF(K58=""," ",VLOOKUP(K58,PUC!$B:$C,2,FALSE))</f>
        <v xml:space="preserve"> </v>
      </c>
      <c r="K58" s="341"/>
      <c r="L58" s="22" t="str">
        <f>+IF(M58=""," ",VLOOKUP(M58,Listas!$F$9:$G$17,2,FALSE))</f>
        <v xml:space="preserve"> </v>
      </c>
      <c r="M58" s="359"/>
      <c r="N58" s="348"/>
      <c r="O58" s="23"/>
      <c r="P58" s="24"/>
      <c r="Q58" s="24"/>
      <c r="R58" s="24"/>
      <c r="S58" s="24"/>
      <c r="T58" s="24"/>
      <c r="U58" s="24"/>
      <c r="V58" s="24"/>
      <c r="W58" s="24"/>
      <c r="X58" s="24"/>
      <c r="Y58" s="24"/>
      <c r="Z58" s="25"/>
    </row>
    <row r="59" spans="1:26" s="59" customFormat="1" ht="25.5">
      <c r="A59" s="8"/>
      <c r="B59" s="20" t="str">
        <f>+IFERROR(VLOOKUP(C59,Listas!$L$8:$M$101,2,FALSE),"")</f>
        <v>10020102</v>
      </c>
      <c r="C59" s="340" t="s">
        <v>474</v>
      </c>
      <c r="D59" s="275"/>
      <c r="E59" s="276"/>
      <c r="F59" s="374" t="s">
        <v>438</v>
      </c>
      <c r="G59" s="374" t="s">
        <v>1044</v>
      </c>
      <c r="H59" s="18" t="str">
        <f>+IF(I59=""," ",VLOOKUP(I59,Listas!$I$8:$J$10,2,FALSE))</f>
        <v>04</v>
      </c>
      <c r="I59" s="340" t="s">
        <v>466</v>
      </c>
      <c r="J59" s="375">
        <f>+IF(K59=""," ",VLOOKUP(K59,PUC!$B:$C,2,FALSE))</f>
        <v>6208100302</v>
      </c>
      <c r="K59" s="340" t="s">
        <v>975</v>
      </c>
      <c r="L59" s="20" t="str">
        <f>+IF(M59=""," ",VLOOKUP(M59,Listas!$F$9:$G$17,2,FALSE))</f>
        <v>02</v>
      </c>
      <c r="M59" s="358" t="s">
        <v>444</v>
      </c>
      <c r="N59" s="347">
        <v>1000000</v>
      </c>
      <c r="O59" s="12"/>
      <c r="P59" s="13"/>
      <c r="Q59" s="13"/>
      <c r="R59" s="13"/>
      <c r="S59" s="13"/>
      <c r="T59" s="13"/>
      <c r="U59" s="13"/>
      <c r="V59" s="13"/>
      <c r="W59" s="13"/>
      <c r="X59" s="13"/>
      <c r="Y59" s="13"/>
      <c r="Z59" s="14"/>
    </row>
    <row r="60" spans="1:26" s="59" customFormat="1" ht="25.5">
      <c r="A60" s="8"/>
      <c r="B60" s="11" t="str">
        <f>+IFERROR(VLOOKUP(C60,Listas!$L$8:$M$101,2,FALSE),"")</f>
        <v>10020102</v>
      </c>
      <c r="C60" s="335" t="s">
        <v>474</v>
      </c>
      <c r="D60" s="273"/>
      <c r="E60" s="274"/>
      <c r="F60" s="585" t="s">
        <v>1045</v>
      </c>
      <c r="G60" s="370" t="s">
        <v>1046</v>
      </c>
      <c r="H60" s="9" t="str">
        <f>+IF(I60=""," ",VLOOKUP(I60,Listas!$I$8:$J$10,2,FALSE))</f>
        <v xml:space="preserve"> </v>
      </c>
      <c r="I60" s="335"/>
      <c r="J60" s="369" t="str">
        <f>+IF(K60=""," ",VLOOKUP(K60,PUC!$B:$C,2,FALSE))</f>
        <v xml:space="preserve"> </v>
      </c>
      <c r="K60" s="335"/>
      <c r="L60" s="11" t="str">
        <f>+IF(M60=""," ",VLOOKUP(M60,Listas!$F$9:$G$17,2,FALSE))</f>
        <v xml:space="preserve"> </v>
      </c>
      <c r="M60" s="357"/>
      <c r="N60" s="346"/>
      <c r="O60" s="15"/>
      <c r="P60" s="16"/>
      <c r="Q60" s="16"/>
      <c r="R60" s="16"/>
      <c r="S60" s="16"/>
      <c r="T60" s="16"/>
      <c r="U60" s="16"/>
      <c r="V60" s="16"/>
      <c r="W60" s="16"/>
      <c r="X60" s="16"/>
      <c r="Y60" s="16"/>
      <c r="Z60" s="17"/>
    </row>
    <row r="61" spans="1:26" s="59" customFormat="1" ht="25.5">
      <c r="A61" s="8"/>
      <c r="B61" s="11" t="str">
        <f>+IFERROR(VLOOKUP(C61,Listas!$L$8:$M$101,2,FALSE),"")</f>
        <v>10020102</v>
      </c>
      <c r="C61" s="335" t="s">
        <v>474</v>
      </c>
      <c r="D61" s="273"/>
      <c r="E61" s="274"/>
      <c r="F61" s="583"/>
      <c r="G61" s="370" t="s">
        <v>1047</v>
      </c>
      <c r="H61" s="9" t="str">
        <f>+IF(I61=""," ",VLOOKUP(I61,Listas!$I$8:$J$10,2,FALSE))</f>
        <v xml:space="preserve"> </v>
      </c>
      <c r="I61" s="335"/>
      <c r="J61" s="369" t="str">
        <f>+IF(K61=""," ",VLOOKUP(K61,PUC!$B:$C,2,FALSE))</f>
        <v xml:space="preserve"> </v>
      </c>
      <c r="K61" s="335"/>
      <c r="L61" s="11" t="str">
        <f>+IF(M61=""," ",VLOOKUP(M61,Listas!$F$9:$G$17,2,FALSE))</f>
        <v xml:space="preserve"> </v>
      </c>
      <c r="M61" s="357"/>
      <c r="N61" s="346"/>
      <c r="O61" s="15"/>
      <c r="P61" s="16"/>
      <c r="Q61" s="16"/>
      <c r="R61" s="16"/>
      <c r="S61" s="16"/>
      <c r="T61" s="16"/>
      <c r="U61" s="16"/>
      <c r="V61" s="16"/>
      <c r="W61" s="16"/>
      <c r="X61" s="16"/>
      <c r="Y61" s="16"/>
      <c r="Z61" s="17"/>
    </row>
    <row r="62" spans="1:26" s="59" customFormat="1" ht="25.5">
      <c r="A62" s="8"/>
      <c r="B62" s="11" t="str">
        <f>+IFERROR(VLOOKUP(C62,Listas!$L$8:$M$101,2,FALSE),"")</f>
        <v>10020102</v>
      </c>
      <c r="C62" s="335" t="s">
        <v>474</v>
      </c>
      <c r="D62" s="273"/>
      <c r="E62" s="274"/>
      <c r="F62" s="584"/>
      <c r="G62" s="370" t="s">
        <v>1048</v>
      </c>
      <c r="H62" s="9" t="str">
        <f>+IF(I62=""," ",VLOOKUP(I62,Listas!$I$8:$J$10,2,FALSE))</f>
        <v>04</v>
      </c>
      <c r="I62" s="335" t="s">
        <v>466</v>
      </c>
      <c r="J62" s="369">
        <f>+IF(K62=""," ",VLOOKUP(K62,PUC!$B:$C,2,FALSE))</f>
        <v>6208100302</v>
      </c>
      <c r="K62" s="335" t="s">
        <v>975</v>
      </c>
      <c r="L62" s="11" t="str">
        <f>+IF(M62=""," ",VLOOKUP(M62,Listas!$F$9:$G$17,2,FALSE))</f>
        <v>02</v>
      </c>
      <c r="M62" s="357" t="s">
        <v>444</v>
      </c>
      <c r="N62" s="346">
        <v>1000000</v>
      </c>
      <c r="O62" s="15"/>
      <c r="P62" s="16"/>
      <c r="Q62" s="16"/>
      <c r="R62" s="16"/>
      <c r="S62" s="16"/>
      <c r="T62" s="16"/>
      <c r="U62" s="16"/>
      <c r="V62" s="16"/>
      <c r="W62" s="16"/>
      <c r="X62" s="16"/>
      <c r="Y62" s="16"/>
      <c r="Z62" s="17"/>
    </row>
    <row r="63" spans="1:26" s="59" customFormat="1" ht="63.75">
      <c r="A63" s="8"/>
      <c r="B63" s="11" t="str">
        <f>+IFERROR(VLOOKUP(C63,Listas!$L$8:$M$101,2,FALSE),"")</f>
        <v>10020102</v>
      </c>
      <c r="C63" s="335" t="s">
        <v>474</v>
      </c>
      <c r="D63" s="273"/>
      <c r="E63" s="274"/>
      <c r="F63" s="370" t="s">
        <v>1049</v>
      </c>
      <c r="G63" s="370" t="s">
        <v>1050</v>
      </c>
      <c r="H63" s="9" t="str">
        <f>+IF(I63=""," ",VLOOKUP(I63,Listas!$I$8:$J$10,2,FALSE))</f>
        <v xml:space="preserve"> </v>
      </c>
      <c r="I63" s="335"/>
      <c r="J63" s="369" t="str">
        <f>+IF(K63=""," ",VLOOKUP(K63,PUC!$B:$C,2,FALSE))</f>
        <v xml:space="preserve"> </v>
      </c>
      <c r="K63" s="335"/>
      <c r="L63" s="11" t="str">
        <f>+IF(M63=""," ",VLOOKUP(M63,Listas!$F$9:$G$17,2,FALSE))</f>
        <v xml:space="preserve"> </v>
      </c>
      <c r="M63" s="357"/>
      <c r="N63" s="346"/>
      <c r="O63" s="15"/>
      <c r="P63" s="16"/>
      <c r="Q63" s="16"/>
      <c r="R63" s="16"/>
      <c r="S63" s="16"/>
      <c r="T63" s="16"/>
      <c r="U63" s="16"/>
      <c r="V63" s="16"/>
      <c r="W63" s="16"/>
      <c r="X63" s="16"/>
      <c r="Y63" s="16"/>
      <c r="Z63" s="17"/>
    </row>
    <row r="64" spans="1:26" s="59" customFormat="1" ht="51">
      <c r="A64" s="8"/>
      <c r="B64" s="11" t="str">
        <f>+IFERROR(VLOOKUP(C64,Listas!$L$8:$M$101,2,FALSE),"")</f>
        <v>10020102</v>
      </c>
      <c r="C64" s="335" t="s">
        <v>474</v>
      </c>
      <c r="D64" s="273"/>
      <c r="E64" s="274"/>
      <c r="F64" s="370" t="s">
        <v>1051</v>
      </c>
      <c r="G64" s="370" t="s">
        <v>1052</v>
      </c>
      <c r="H64" s="9" t="str">
        <f>+IF(I64=""," ",VLOOKUP(I64,Listas!$I$8:$J$10,2,FALSE))</f>
        <v xml:space="preserve"> </v>
      </c>
      <c r="I64" s="335"/>
      <c r="J64" s="369" t="str">
        <f>+IF(K64=""," ",VLOOKUP(K64,PUC!$B:$C,2,FALSE))</f>
        <v xml:space="preserve"> </v>
      </c>
      <c r="K64" s="335"/>
      <c r="L64" s="11" t="str">
        <f>+IF(M64=""," ",VLOOKUP(M64,Listas!$F$9:$G$17,2,FALSE))</f>
        <v xml:space="preserve"> </v>
      </c>
      <c r="M64" s="357"/>
      <c r="N64" s="346"/>
      <c r="O64" s="15"/>
      <c r="P64" s="16"/>
      <c r="Q64" s="16"/>
      <c r="R64" s="16"/>
      <c r="S64" s="16"/>
      <c r="T64" s="16"/>
      <c r="U64" s="16"/>
      <c r="V64" s="16"/>
      <c r="W64" s="16"/>
      <c r="X64" s="16"/>
      <c r="Y64" s="16"/>
      <c r="Z64" s="17"/>
    </row>
    <row r="65" spans="1:26" s="59" customFormat="1" ht="51">
      <c r="A65" s="8"/>
      <c r="B65" s="11" t="str">
        <f>+IFERROR(VLOOKUP(C65,Listas!$L$8:$M$101,2,FALSE),"")</f>
        <v>10020102</v>
      </c>
      <c r="C65" s="335" t="s">
        <v>474</v>
      </c>
      <c r="D65" s="273"/>
      <c r="E65" s="274"/>
      <c r="F65" s="370" t="s">
        <v>1053</v>
      </c>
      <c r="G65" s="370" t="s">
        <v>1054</v>
      </c>
      <c r="H65" s="9" t="str">
        <f>+IF(I65=""," ",VLOOKUP(I65,Listas!$I$8:$J$10,2,FALSE))</f>
        <v xml:space="preserve"> </v>
      </c>
      <c r="I65" s="335"/>
      <c r="J65" s="369" t="str">
        <f>+IF(K65=""," ",VLOOKUP(K65,PUC!$B:$C,2,FALSE))</f>
        <v xml:space="preserve"> </v>
      </c>
      <c r="K65" s="335"/>
      <c r="L65" s="11" t="str">
        <f>+IF(M65=""," ",VLOOKUP(M65,Listas!$F$9:$G$17,2,FALSE))</f>
        <v xml:space="preserve"> </v>
      </c>
      <c r="M65" s="357"/>
      <c r="N65" s="346"/>
      <c r="O65" s="15"/>
      <c r="P65" s="16"/>
      <c r="Q65" s="16"/>
      <c r="R65" s="16"/>
      <c r="S65" s="16"/>
      <c r="T65" s="16"/>
      <c r="U65" s="16"/>
      <c r="V65" s="16"/>
      <c r="W65" s="16"/>
      <c r="X65" s="16"/>
      <c r="Y65" s="16"/>
      <c r="Z65" s="17"/>
    </row>
    <row r="66" spans="1:26" s="59" customFormat="1" ht="51.75" thickBot="1">
      <c r="A66" s="8"/>
      <c r="B66" s="11" t="str">
        <f>+IFERROR(VLOOKUP(C66,Listas!$L$8:$M$101,2,FALSE),"")</f>
        <v>10020102</v>
      </c>
      <c r="C66" s="335" t="s">
        <v>474</v>
      </c>
      <c r="D66" s="273"/>
      <c r="E66" s="274"/>
      <c r="F66" s="370" t="s">
        <v>1055</v>
      </c>
      <c r="G66" s="370" t="s">
        <v>1056</v>
      </c>
      <c r="H66" s="9" t="str">
        <f>+IF(I66=""," ",VLOOKUP(I66,Listas!$I$8:$J$10,2,FALSE))</f>
        <v xml:space="preserve"> </v>
      </c>
      <c r="I66" s="335"/>
      <c r="J66" s="369" t="str">
        <f>+IF(K66=""," ",VLOOKUP(K66,PUC!$B:$C,2,FALSE))</f>
        <v xml:space="preserve"> </v>
      </c>
      <c r="K66" s="335"/>
      <c r="L66" s="11" t="str">
        <f>+IF(M66=""," ",VLOOKUP(M66,Listas!$F$9:$G$17,2,FALSE))</f>
        <v xml:space="preserve"> </v>
      </c>
      <c r="M66" s="357"/>
      <c r="N66" s="346"/>
      <c r="O66" s="15"/>
      <c r="P66" s="16"/>
      <c r="Q66" s="16"/>
      <c r="R66" s="16"/>
      <c r="S66" s="16"/>
      <c r="T66" s="16"/>
      <c r="U66" s="16"/>
      <c r="V66" s="16"/>
      <c r="W66" s="16"/>
      <c r="X66" s="16"/>
      <c r="Y66" s="16"/>
      <c r="Z66" s="17"/>
    </row>
    <row r="67" spans="1:26" s="59" customFormat="1" ht="29.25" hidden="1" customHeight="1">
      <c r="A67" s="8"/>
      <c r="B67" s="11" t="str">
        <f>+IFERROR(VLOOKUP(C67,Listas!$L$8:$M$101,2,FALSE),"")</f>
        <v>10020102</v>
      </c>
      <c r="C67" s="335" t="s">
        <v>474</v>
      </c>
      <c r="D67" s="273"/>
      <c r="E67" s="274"/>
      <c r="F67" s="273"/>
      <c r="G67" s="274"/>
      <c r="H67" s="9" t="str">
        <f>+IF(I67=""," ",VLOOKUP(I67,Listas!$I$8:$J$10,2,FALSE))</f>
        <v xml:space="preserve"> </v>
      </c>
      <c r="I67" s="335"/>
      <c r="J67" s="369" t="str">
        <f>+IF(K67=""," ",VLOOKUP(K67,PUC!$B:$C,2,FALSE))</f>
        <v xml:space="preserve"> </v>
      </c>
      <c r="K67" s="335"/>
      <c r="L67" s="11" t="str">
        <f>+IF(M67=""," ",VLOOKUP(M67,Listas!$F$9:$G$17,2,FALSE))</f>
        <v xml:space="preserve"> </v>
      </c>
      <c r="M67" s="357"/>
      <c r="N67" s="346"/>
      <c r="O67" s="15"/>
      <c r="P67" s="16"/>
      <c r="Q67" s="16"/>
      <c r="R67" s="16"/>
      <c r="S67" s="16"/>
      <c r="T67" s="16"/>
      <c r="U67" s="16"/>
      <c r="V67" s="16"/>
      <c r="W67" s="16"/>
      <c r="X67" s="16"/>
      <c r="Y67" s="16"/>
      <c r="Z67" s="17"/>
    </row>
    <row r="68" spans="1:26" s="59" customFormat="1" ht="29.25" hidden="1" customHeight="1" thickBot="1">
      <c r="A68" s="8"/>
      <c r="B68" s="22" t="str">
        <f>+IFERROR(VLOOKUP(C68,Listas!$L$8:$M$101,2,FALSE),"")</f>
        <v>10020102</v>
      </c>
      <c r="C68" s="341" t="s">
        <v>474</v>
      </c>
      <c r="D68" s="277"/>
      <c r="E68" s="278"/>
      <c r="F68" s="277"/>
      <c r="G68" s="278"/>
      <c r="H68" s="21" t="str">
        <f>+IF(I68=""," ",VLOOKUP(I68,Listas!$I$8:$J$10,2,FALSE))</f>
        <v xml:space="preserve"> </v>
      </c>
      <c r="I68" s="341"/>
      <c r="J68" s="376" t="str">
        <f>+IF(K68=""," ",VLOOKUP(K68,PUC!$B:$C,2,FALSE))</f>
        <v xml:space="preserve"> </v>
      </c>
      <c r="K68" s="341"/>
      <c r="L68" s="22" t="str">
        <f>+IF(M68=""," ",VLOOKUP(M68,Listas!$F$9:$G$17,2,FALSE))</f>
        <v xml:space="preserve"> </v>
      </c>
      <c r="M68" s="359"/>
      <c r="N68" s="348"/>
      <c r="O68" s="23"/>
      <c r="P68" s="24"/>
      <c r="Q68" s="24"/>
      <c r="R68" s="24"/>
      <c r="S68" s="24"/>
      <c r="T68" s="24"/>
      <c r="U68" s="24"/>
      <c r="V68" s="24"/>
      <c r="W68" s="24"/>
      <c r="X68" s="24"/>
      <c r="Y68" s="24"/>
      <c r="Z68" s="25"/>
    </row>
    <row r="69" spans="1:26" s="59" customFormat="1" ht="38.25">
      <c r="A69" s="8"/>
      <c r="B69" s="20" t="str">
        <f>+IFERROR(VLOOKUP(C69,Listas!$L$8:$M$101,2,FALSE),"")</f>
        <v>10030101</v>
      </c>
      <c r="C69" s="340" t="s">
        <v>475</v>
      </c>
      <c r="D69" s="275"/>
      <c r="E69" s="276"/>
      <c r="F69" s="582" t="s">
        <v>1057</v>
      </c>
      <c r="G69" s="402" t="s">
        <v>1058</v>
      </c>
      <c r="H69" s="18" t="str">
        <f>+IF(I69=""," ",VLOOKUP(I69,Listas!$I$8:$J$10,2,FALSE))</f>
        <v xml:space="preserve"> </v>
      </c>
      <c r="I69" s="340"/>
      <c r="J69" s="375" t="str">
        <f>+IF(K69=""," ",VLOOKUP(K69,PUC!$B:$C,2,FALSE))</f>
        <v xml:space="preserve"> </v>
      </c>
      <c r="K69" s="340"/>
      <c r="L69" s="20" t="str">
        <f>+IF(M69=""," ",VLOOKUP(M69,Listas!$F$9:$G$17,2,FALSE))</f>
        <v xml:space="preserve"> </v>
      </c>
      <c r="M69" s="358"/>
      <c r="N69" s="347"/>
      <c r="O69" s="12"/>
      <c r="P69" s="13"/>
      <c r="Q69" s="13"/>
      <c r="R69" s="13"/>
      <c r="S69" s="13"/>
      <c r="T69" s="13"/>
      <c r="U69" s="13"/>
      <c r="V69" s="13"/>
      <c r="W69" s="13"/>
      <c r="X69" s="13"/>
      <c r="Y69" s="13"/>
      <c r="Z69" s="14"/>
    </row>
    <row r="70" spans="1:26" s="59" customFormat="1" ht="38.25">
      <c r="A70" s="8"/>
      <c r="B70" s="11" t="str">
        <f>+IFERROR(VLOOKUP(C70,Listas!$L$8:$M$101,2,FALSE),"")</f>
        <v>10030101</v>
      </c>
      <c r="C70" s="335" t="s">
        <v>475</v>
      </c>
      <c r="D70" s="273"/>
      <c r="E70" s="274"/>
      <c r="F70" s="584"/>
      <c r="G70" s="401" t="s">
        <v>1075</v>
      </c>
      <c r="H70" s="9" t="str">
        <f>+IF(I70=""," ",VLOOKUP(I70,Listas!$I$8:$J$10,2,FALSE))</f>
        <v xml:space="preserve"> </v>
      </c>
      <c r="I70" s="335"/>
      <c r="J70" s="369" t="str">
        <f>+IF(K70=""," ",VLOOKUP(K70,PUC!$B:$C,2,FALSE))</f>
        <v xml:space="preserve"> </v>
      </c>
      <c r="K70" s="335"/>
      <c r="L70" s="11" t="str">
        <f>+IF(M70=""," ",VLOOKUP(M70,Listas!$F$9:$G$17,2,FALSE))</f>
        <v xml:space="preserve"> </v>
      </c>
      <c r="M70" s="357"/>
      <c r="N70" s="346"/>
      <c r="O70" s="15"/>
      <c r="P70" s="16"/>
      <c r="Q70" s="16"/>
      <c r="R70" s="16"/>
      <c r="S70" s="16"/>
      <c r="T70" s="16"/>
      <c r="U70" s="16"/>
      <c r="V70" s="16"/>
      <c r="W70" s="16"/>
      <c r="X70" s="16"/>
      <c r="Y70" s="16"/>
      <c r="Z70" s="17"/>
    </row>
    <row r="71" spans="1:26" s="59" customFormat="1" ht="38.25">
      <c r="A71" s="8"/>
      <c r="B71" s="11" t="str">
        <f>+IFERROR(VLOOKUP(C71,Listas!$L$8:$M$101,2,FALSE),"")</f>
        <v>10030101</v>
      </c>
      <c r="C71" s="335" t="s">
        <v>475</v>
      </c>
      <c r="D71" s="273"/>
      <c r="E71" s="274"/>
      <c r="F71" s="585" t="s">
        <v>1059</v>
      </c>
      <c r="G71" s="401" t="s">
        <v>1060</v>
      </c>
      <c r="H71" s="9" t="str">
        <f>+IF(I71=""," ",VLOOKUP(I71,Listas!$I$8:$J$10,2,FALSE))</f>
        <v xml:space="preserve"> </v>
      </c>
      <c r="I71" s="335"/>
      <c r="J71" s="369" t="str">
        <f>+IF(K71=""," ",VLOOKUP(K71,PUC!$B:$C,2,FALSE))</f>
        <v xml:space="preserve"> </v>
      </c>
      <c r="K71" s="335"/>
      <c r="L71" s="11" t="str">
        <f>+IF(M71=""," ",VLOOKUP(M71,Listas!$F$9:$G$17,2,FALSE))</f>
        <v xml:space="preserve"> </v>
      </c>
      <c r="M71" s="357"/>
      <c r="N71" s="346"/>
      <c r="O71" s="15"/>
      <c r="P71" s="16"/>
      <c r="Q71" s="16"/>
      <c r="R71" s="16"/>
      <c r="S71" s="16"/>
      <c r="T71" s="16"/>
      <c r="U71" s="16"/>
      <c r="V71" s="16"/>
      <c r="W71" s="16"/>
      <c r="X71" s="16"/>
      <c r="Y71" s="16"/>
      <c r="Z71" s="17"/>
    </row>
    <row r="72" spans="1:26" s="59" customFormat="1" ht="38.25">
      <c r="A72" s="8"/>
      <c r="B72" s="11" t="str">
        <f>+IFERROR(VLOOKUP(C72,Listas!$L$8:$M$101,2,FALSE),"")</f>
        <v>10030101</v>
      </c>
      <c r="C72" s="335" t="s">
        <v>475</v>
      </c>
      <c r="D72" s="273"/>
      <c r="E72" s="274"/>
      <c r="F72" s="583"/>
      <c r="G72" s="401" t="s">
        <v>1061</v>
      </c>
      <c r="H72" s="9" t="str">
        <f>+IF(I72=""," ",VLOOKUP(I72,Listas!$I$8:$J$10,2,FALSE))</f>
        <v xml:space="preserve"> </v>
      </c>
      <c r="I72" s="335"/>
      <c r="J72" s="369" t="str">
        <f>+IF(K72=""," ",VLOOKUP(K72,PUC!$B:$C,2,FALSE))</f>
        <v xml:space="preserve"> </v>
      </c>
      <c r="K72" s="335"/>
      <c r="L72" s="11" t="str">
        <f>+IF(M72=""," ",VLOOKUP(M72,Listas!$F$9:$G$17,2,FALSE))</f>
        <v xml:space="preserve"> </v>
      </c>
      <c r="M72" s="357"/>
      <c r="N72" s="346"/>
      <c r="O72" s="15"/>
      <c r="P72" s="16"/>
      <c r="Q72" s="16"/>
      <c r="R72" s="16"/>
      <c r="S72" s="16"/>
      <c r="T72" s="16"/>
      <c r="U72" s="16"/>
      <c r="V72" s="16"/>
      <c r="W72" s="16"/>
      <c r="X72" s="16"/>
      <c r="Y72" s="16"/>
      <c r="Z72" s="17"/>
    </row>
    <row r="73" spans="1:26" s="59" customFormat="1" ht="25.5">
      <c r="A73" s="8"/>
      <c r="B73" s="11" t="str">
        <f>+IFERROR(VLOOKUP(C73,Listas!$L$8:$M$101,2,FALSE),"")</f>
        <v>10030101</v>
      </c>
      <c r="C73" s="335" t="s">
        <v>475</v>
      </c>
      <c r="D73" s="273"/>
      <c r="E73" s="274"/>
      <c r="F73" s="583"/>
      <c r="G73" s="401" t="s">
        <v>1062</v>
      </c>
      <c r="H73" s="9" t="str">
        <f>+IF(I73=""," ",VLOOKUP(I73,Listas!$I$8:$J$10,2,FALSE))</f>
        <v xml:space="preserve"> </v>
      </c>
      <c r="I73" s="335"/>
      <c r="J73" s="369" t="str">
        <f>+IF(K73=""," ",VLOOKUP(K73,PUC!$B:$C,2,FALSE))</f>
        <v xml:space="preserve"> </v>
      </c>
      <c r="K73" s="335"/>
      <c r="L73" s="11" t="str">
        <f>+IF(M73=""," ",VLOOKUP(M73,Listas!$F$9:$G$17,2,FALSE))</f>
        <v xml:space="preserve"> </v>
      </c>
      <c r="M73" s="357"/>
      <c r="N73" s="346"/>
      <c r="O73" s="15"/>
      <c r="P73" s="16"/>
      <c r="Q73" s="16"/>
      <c r="R73" s="16"/>
      <c r="S73" s="16"/>
      <c r="T73" s="16"/>
      <c r="U73" s="16"/>
      <c r="V73" s="16"/>
      <c r="W73" s="16"/>
      <c r="X73" s="16"/>
      <c r="Y73" s="16"/>
      <c r="Z73" s="17"/>
    </row>
    <row r="74" spans="1:26" s="59" customFormat="1" ht="25.5">
      <c r="A74" s="8"/>
      <c r="B74" s="11" t="str">
        <f>+IFERROR(VLOOKUP(C74,Listas!$L$8:$M$101,2,FALSE),"")</f>
        <v>10030101</v>
      </c>
      <c r="C74" s="335" t="s">
        <v>475</v>
      </c>
      <c r="D74" s="273"/>
      <c r="E74" s="274"/>
      <c r="F74" s="583"/>
      <c r="G74" s="401" t="s">
        <v>1063</v>
      </c>
      <c r="H74" s="9" t="str">
        <f>+IF(I74=""," ",VLOOKUP(I74,Listas!$I$8:$J$10,2,FALSE))</f>
        <v xml:space="preserve"> </v>
      </c>
      <c r="I74" s="335"/>
      <c r="J74" s="369" t="str">
        <f>+IF(K74=""," ",VLOOKUP(K74,PUC!$B:$C,2,FALSE))</f>
        <v xml:space="preserve"> </v>
      </c>
      <c r="K74" s="335"/>
      <c r="L74" s="11" t="str">
        <f>+IF(M74=""," ",VLOOKUP(M74,Listas!$F$9:$G$17,2,FALSE))</f>
        <v xml:space="preserve"> </v>
      </c>
      <c r="M74" s="357"/>
      <c r="N74" s="346"/>
      <c r="O74" s="15"/>
      <c r="P74" s="16"/>
      <c r="Q74" s="16"/>
      <c r="R74" s="16"/>
      <c r="S74" s="16"/>
      <c r="T74" s="16"/>
      <c r="U74" s="16"/>
      <c r="V74" s="16"/>
      <c r="W74" s="16"/>
      <c r="X74" s="16"/>
      <c r="Y74" s="16"/>
      <c r="Z74" s="17"/>
    </row>
    <row r="75" spans="1:26" s="59" customFormat="1" ht="89.25">
      <c r="A75" s="8"/>
      <c r="B75" s="11" t="str">
        <f>+IFERROR(VLOOKUP(C75,Listas!$L$8:$M$101,2,FALSE),"")</f>
        <v>10030101</v>
      </c>
      <c r="C75" s="335" t="s">
        <v>475</v>
      </c>
      <c r="D75" s="273"/>
      <c r="E75" s="274"/>
      <c r="F75" s="583"/>
      <c r="G75" s="401" t="s">
        <v>1064</v>
      </c>
      <c r="H75" s="9" t="str">
        <f>+IF(I75=""," ",VLOOKUP(I75,Listas!$I$8:$J$10,2,FALSE))</f>
        <v xml:space="preserve"> </v>
      </c>
      <c r="I75" s="335"/>
      <c r="J75" s="369" t="str">
        <f>+IF(K75=""," ",VLOOKUP(K75,PUC!$B:$C,2,FALSE))</f>
        <v xml:space="preserve"> </v>
      </c>
      <c r="K75" s="335"/>
      <c r="L75" s="11" t="str">
        <f>+IF(M75=""," ",VLOOKUP(M75,Listas!$F$9:$G$17,2,FALSE))</f>
        <v xml:space="preserve"> </v>
      </c>
      <c r="M75" s="357"/>
      <c r="N75" s="346"/>
      <c r="O75" s="15"/>
      <c r="P75" s="16"/>
      <c r="Q75" s="16"/>
      <c r="R75" s="16"/>
      <c r="S75" s="16"/>
      <c r="T75" s="16"/>
      <c r="U75" s="16"/>
      <c r="V75" s="16"/>
      <c r="W75" s="16"/>
      <c r="X75" s="16"/>
      <c r="Y75" s="16"/>
      <c r="Z75" s="17"/>
    </row>
    <row r="76" spans="1:26" s="59" customFormat="1" ht="51">
      <c r="A76" s="8"/>
      <c r="B76" s="11" t="str">
        <f>+IFERROR(VLOOKUP(C76,Listas!$L$8:$M$101,2,FALSE),"")</f>
        <v>10030101</v>
      </c>
      <c r="C76" s="335" t="s">
        <v>475</v>
      </c>
      <c r="D76" s="273"/>
      <c r="E76" s="274"/>
      <c r="F76" s="583"/>
      <c r="G76" s="401" t="s">
        <v>1065</v>
      </c>
      <c r="H76" s="9" t="str">
        <f>+IF(I76=""," ",VLOOKUP(I76,Listas!$I$8:$J$10,2,FALSE))</f>
        <v>02</v>
      </c>
      <c r="I76" s="335" t="s">
        <v>464</v>
      </c>
      <c r="J76" s="369" t="str">
        <f>+IF(K76=""," ",VLOOKUP(K76,PUC!$B:$C,2,FALSE))</f>
        <v xml:space="preserve"> </v>
      </c>
      <c r="K76" s="335"/>
      <c r="L76" s="11" t="str">
        <f>+IF(M76=""," ",VLOOKUP(M76,Listas!$F$9:$G$17,2,FALSE))</f>
        <v xml:space="preserve"> </v>
      </c>
      <c r="M76" s="357"/>
      <c r="N76" s="346"/>
      <c r="O76" s="15"/>
      <c r="P76" s="16"/>
      <c r="Q76" s="16"/>
      <c r="R76" s="16"/>
      <c r="S76" s="16"/>
      <c r="T76" s="16"/>
      <c r="U76" s="16"/>
      <c r="V76" s="16"/>
      <c r="W76" s="16"/>
      <c r="X76" s="16"/>
      <c r="Y76" s="16"/>
      <c r="Z76" s="17"/>
    </row>
    <row r="77" spans="1:26" s="59" customFormat="1" ht="25.5">
      <c r="A77" s="8"/>
      <c r="B77" s="11" t="str">
        <f>+IFERROR(VLOOKUP(C77,Listas!$L$8:$M$101,2,FALSE),"")</f>
        <v>10030103</v>
      </c>
      <c r="C77" s="335" t="s">
        <v>1366</v>
      </c>
      <c r="D77" s="273"/>
      <c r="E77" s="274"/>
      <c r="F77" s="584"/>
      <c r="G77" s="476" t="s">
        <v>1066</v>
      </c>
      <c r="H77" s="477" t="str">
        <f>+IF(I77=""," ",VLOOKUP(I77,Listas!$I$8:$J$10,2,FALSE))</f>
        <v>02</v>
      </c>
      <c r="I77" s="478" t="s">
        <v>464</v>
      </c>
      <c r="J77" s="479">
        <f>+IF(K77=""," ",VLOOKUP(K77,PUC!$B:$C,2,FALSE))</f>
        <v>6208020203</v>
      </c>
      <c r="K77" s="478" t="s">
        <v>811</v>
      </c>
      <c r="L77" s="480" t="str">
        <f>+IF(M77=""," ",VLOOKUP(M77,Listas!$F$9:$G$17,2,FALSE))</f>
        <v>02</v>
      </c>
      <c r="M77" s="481" t="s">
        <v>444</v>
      </c>
      <c r="N77" s="482">
        <v>3840000</v>
      </c>
      <c r="O77" s="15"/>
      <c r="P77" s="16"/>
      <c r="Q77" s="16"/>
      <c r="R77" s="16"/>
      <c r="S77" s="16"/>
      <c r="T77" s="16"/>
      <c r="U77" s="16"/>
      <c r="V77" s="16"/>
      <c r="W77" s="16"/>
      <c r="X77" s="16"/>
      <c r="Y77" s="16"/>
      <c r="Z77" s="17"/>
    </row>
    <row r="78" spans="1:26" s="59" customFormat="1" ht="127.5">
      <c r="A78" s="8"/>
      <c r="B78" s="11" t="str">
        <f>+IFERROR(VLOOKUP(C78,Listas!$L$8:$M$101,2,FALSE),"")</f>
        <v>10030101</v>
      </c>
      <c r="C78" s="335" t="s">
        <v>475</v>
      </c>
      <c r="D78" s="273"/>
      <c r="E78" s="274"/>
      <c r="F78" s="370" t="s">
        <v>1067</v>
      </c>
      <c r="G78" s="401" t="s">
        <v>1068</v>
      </c>
      <c r="H78" s="9" t="str">
        <f>+IF(I78=""," ",VLOOKUP(I78,Listas!$I$8:$J$10,2,FALSE))</f>
        <v xml:space="preserve"> </v>
      </c>
      <c r="I78" s="335"/>
      <c r="J78" s="369" t="str">
        <f>+IF(K78=""," ",VLOOKUP(K78,PUC!$B:$C,2,FALSE))</f>
        <v xml:space="preserve"> </v>
      </c>
      <c r="K78" s="335"/>
      <c r="L78" s="11" t="str">
        <f>+IF(M78=""," ",VLOOKUP(M78,Listas!$F$9:$G$17,2,FALSE))</f>
        <v xml:space="preserve"> </v>
      </c>
      <c r="M78" s="357"/>
      <c r="N78" s="346"/>
      <c r="O78" s="15"/>
      <c r="P78" s="16"/>
      <c r="Q78" s="16"/>
      <c r="R78" s="16"/>
      <c r="S78" s="16"/>
      <c r="T78" s="16"/>
      <c r="U78" s="16"/>
      <c r="V78" s="16"/>
      <c r="W78" s="16"/>
      <c r="X78" s="16"/>
      <c r="Y78" s="16"/>
      <c r="Z78" s="17"/>
    </row>
    <row r="79" spans="1:26" s="59" customFormat="1" ht="51">
      <c r="A79" s="8"/>
      <c r="B79" s="11" t="str">
        <f>+IFERROR(VLOOKUP(C79,Listas!$L$8:$M$101,2,FALSE),"")</f>
        <v>10030101</v>
      </c>
      <c r="C79" s="335" t="s">
        <v>475</v>
      </c>
      <c r="D79" s="273"/>
      <c r="E79" s="274"/>
      <c r="F79" s="370" t="s">
        <v>1069</v>
      </c>
      <c r="G79" s="401" t="s">
        <v>1070</v>
      </c>
      <c r="H79" s="9" t="str">
        <f>+IF(I79=""," ",VLOOKUP(I79,Listas!$I$8:$J$10,2,FALSE))</f>
        <v xml:space="preserve"> </v>
      </c>
      <c r="I79" s="335"/>
      <c r="J79" s="369" t="str">
        <f>+IF(K79=""," ",VLOOKUP(K79,PUC!$B:$C,2,FALSE))</f>
        <v xml:space="preserve"> </v>
      </c>
      <c r="K79" s="335"/>
      <c r="L79" s="11" t="str">
        <f>+IF(M79=""," ",VLOOKUP(M79,Listas!$F$9:$G$17,2,FALSE))</f>
        <v xml:space="preserve"> </v>
      </c>
      <c r="M79" s="357"/>
      <c r="N79" s="346"/>
      <c r="O79" s="15"/>
      <c r="P79" s="16"/>
      <c r="Q79" s="16"/>
      <c r="R79" s="16"/>
      <c r="S79" s="16"/>
      <c r="T79" s="16"/>
      <c r="U79" s="16"/>
      <c r="V79" s="16"/>
      <c r="W79" s="16"/>
      <c r="X79" s="16"/>
      <c r="Y79" s="16"/>
      <c r="Z79" s="17"/>
    </row>
    <row r="80" spans="1:26" s="59" customFormat="1" ht="102">
      <c r="A80" s="8"/>
      <c r="B80" s="11" t="str">
        <f>+IFERROR(VLOOKUP(C80,Listas!$L$8:$M$101,2,FALSE),"")</f>
        <v>10030101</v>
      </c>
      <c r="C80" s="335" t="s">
        <v>475</v>
      </c>
      <c r="D80" s="273"/>
      <c r="E80" s="274"/>
      <c r="F80" s="370" t="s">
        <v>1071</v>
      </c>
      <c r="G80" s="401" t="s">
        <v>1072</v>
      </c>
      <c r="H80" s="9" t="str">
        <f>+IF(I80=""," ",VLOOKUP(I80,Listas!$I$8:$J$10,2,FALSE))</f>
        <v xml:space="preserve"> </v>
      </c>
      <c r="I80" s="335"/>
      <c r="J80" s="369" t="str">
        <f>+IF(K80=""," ",VLOOKUP(K80,PUC!$B:$C,2,FALSE))</f>
        <v xml:space="preserve"> </v>
      </c>
      <c r="K80" s="335"/>
      <c r="L80" s="11" t="str">
        <f>+IF(M80=""," ",VLOOKUP(M80,Listas!$F$9:$G$17,2,FALSE))</f>
        <v xml:space="preserve"> </v>
      </c>
      <c r="M80" s="357"/>
      <c r="N80" s="346"/>
      <c r="O80" s="15"/>
      <c r="P80" s="16"/>
      <c r="Q80" s="16"/>
      <c r="R80" s="16"/>
      <c r="S80" s="16"/>
      <c r="T80" s="16"/>
      <c r="U80" s="16"/>
      <c r="V80" s="16"/>
      <c r="W80" s="16"/>
      <c r="X80" s="16"/>
      <c r="Y80" s="16"/>
      <c r="Z80" s="17"/>
    </row>
    <row r="81" spans="1:26" s="59" customFormat="1" ht="38.25">
      <c r="A81" s="8"/>
      <c r="B81" s="11" t="str">
        <f>+IFERROR(VLOOKUP(C81,Listas!$L$8:$M$101,2,FALSE),"")</f>
        <v>10030101</v>
      </c>
      <c r="C81" s="335" t="s">
        <v>475</v>
      </c>
      <c r="D81" s="273"/>
      <c r="E81" s="274"/>
      <c r="F81" s="370" t="s">
        <v>1073</v>
      </c>
      <c r="G81" s="401" t="s">
        <v>1074</v>
      </c>
      <c r="H81" s="9" t="str">
        <f>+IF(I81=""," ",VLOOKUP(I81,Listas!$I$8:$J$10,2,FALSE))</f>
        <v xml:space="preserve"> </v>
      </c>
      <c r="I81" s="335"/>
      <c r="J81" s="369" t="str">
        <f>+IF(K81=""," ",VLOOKUP(K81,PUC!$B:$C,2,FALSE))</f>
        <v xml:space="preserve"> </v>
      </c>
      <c r="K81" s="335"/>
      <c r="L81" s="11" t="str">
        <f>+IF(M81=""," ",VLOOKUP(M81,Listas!$F$9:$G$17,2,FALSE))</f>
        <v xml:space="preserve"> </v>
      </c>
      <c r="M81" s="357"/>
      <c r="N81" s="346"/>
      <c r="O81" s="15"/>
      <c r="P81" s="16"/>
      <c r="Q81" s="16"/>
      <c r="R81" s="16"/>
      <c r="S81" s="16"/>
      <c r="T81" s="16"/>
      <c r="U81" s="16"/>
      <c r="V81" s="16"/>
      <c r="W81" s="16"/>
      <c r="X81" s="16"/>
      <c r="Y81" s="16"/>
      <c r="Z81" s="17"/>
    </row>
    <row r="82" spans="1:26" s="59" customFormat="1" ht="29.25" customHeight="1">
      <c r="A82" s="8"/>
      <c r="B82" s="11" t="str">
        <f>+IFERROR(VLOOKUP(C82,Listas!$L$8:$M$101,2,FALSE),"")</f>
        <v>10030101</v>
      </c>
      <c r="C82" s="335" t="s">
        <v>475</v>
      </c>
      <c r="D82" s="273"/>
      <c r="E82" s="274"/>
      <c r="F82" s="301"/>
      <c r="G82" s="371"/>
      <c r="H82" s="9" t="str">
        <f>+IF(I82=""," ",VLOOKUP(I82,Listas!$I$8:$J$10,2,FALSE))</f>
        <v xml:space="preserve"> </v>
      </c>
      <c r="I82" s="335"/>
      <c r="J82" s="369" t="str">
        <f>+IF(K82=""," ",VLOOKUP(K82,PUC!$B:$C,2,FALSE))</f>
        <v xml:space="preserve"> </v>
      </c>
      <c r="K82" s="335"/>
      <c r="L82" s="11" t="str">
        <f>+IF(M82=""," ",VLOOKUP(M82,Listas!$F$9:$G$17,2,FALSE))</f>
        <v xml:space="preserve"> </v>
      </c>
      <c r="M82" s="357"/>
      <c r="N82" s="346"/>
      <c r="O82" s="15"/>
      <c r="P82" s="16"/>
      <c r="Q82" s="16"/>
      <c r="R82" s="16"/>
      <c r="S82" s="16"/>
      <c r="T82" s="16"/>
      <c r="U82" s="16"/>
      <c r="V82" s="16"/>
      <c r="W82" s="16"/>
      <c r="X82" s="16"/>
      <c r="Y82" s="16"/>
      <c r="Z82" s="17"/>
    </row>
    <row r="83" spans="1:26" s="59" customFormat="1" ht="29.25" customHeight="1" thickBot="1">
      <c r="A83" s="8"/>
      <c r="B83" s="22" t="str">
        <f>+IFERROR(VLOOKUP(C83,Listas!$L$8:$M$101,2,FALSE),"")</f>
        <v>10030101</v>
      </c>
      <c r="C83" s="341" t="s">
        <v>475</v>
      </c>
      <c r="D83" s="277"/>
      <c r="E83" s="278"/>
      <c r="F83" s="277"/>
      <c r="G83" s="278"/>
      <c r="H83" s="21" t="str">
        <f>+IF(I83=""," ",VLOOKUP(I83,Listas!$I$8:$J$10,2,FALSE))</f>
        <v xml:space="preserve"> </v>
      </c>
      <c r="I83" s="341"/>
      <c r="J83" s="376" t="str">
        <f>+IF(K83=""," ",VLOOKUP(K83,PUC!$B:$C,2,FALSE))</f>
        <v xml:space="preserve"> </v>
      </c>
      <c r="K83" s="341"/>
      <c r="L83" s="22" t="str">
        <f>+IF(M83=""," ",VLOOKUP(M83,Listas!$F$9:$G$17,2,FALSE))</f>
        <v xml:space="preserve"> </v>
      </c>
      <c r="M83" s="359"/>
      <c r="N83" s="348"/>
      <c r="O83" s="23"/>
      <c r="P83" s="24"/>
      <c r="Q83" s="24"/>
      <c r="R83" s="24"/>
      <c r="S83" s="24"/>
      <c r="T83" s="24"/>
      <c r="U83" s="24"/>
      <c r="V83" s="24"/>
      <c r="W83" s="24"/>
      <c r="X83" s="24"/>
      <c r="Y83" s="24"/>
      <c r="Z83" s="25"/>
    </row>
    <row r="84" spans="1:26" s="59" customFormat="1" ht="38.25">
      <c r="A84" s="8"/>
      <c r="B84" s="20" t="str">
        <f>+IFERROR(VLOOKUP(C84,Listas!$L$8:$M$101,2,FALSE),"")</f>
        <v>10030102</v>
      </c>
      <c r="C84" s="340" t="s">
        <v>476</v>
      </c>
      <c r="D84" s="275"/>
      <c r="E84" s="276"/>
      <c r="F84" s="582" t="s">
        <v>1076</v>
      </c>
      <c r="G84" s="402" t="s">
        <v>1077</v>
      </c>
      <c r="H84" s="18" t="str">
        <f>+IF(I84=""," ",VLOOKUP(I84,Listas!$I$8:$J$10,2,FALSE))</f>
        <v xml:space="preserve"> </v>
      </c>
      <c r="I84" s="340"/>
      <c r="J84" s="375" t="str">
        <f>+IF(K84=""," ",VLOOKUP(K84,PUC!$B:$C,2,FALSE))</f>
        <v xml:space="preserve"> </v>
      </c>
      <c r="K84" s="340"/>
      <c r="L84" s="20" t="str">
        <f>+IF(M84=""," ",VLOOKUP(M84,Listas!$F$9:$G$17,2,FALSE))</f>
        <v xml:space="preserve"> </v>
      </c>
      <c r="M84" s="358"/>
      <c r="N84" s="347"/>
      <c r="O84" s="12"/>
      <c r="P84" s="13"/>
      <c r="Q84" s="13"/>
      <c r="R84" s="13"/>
      <c r="S84" s="13"/>
      <c r="T84" s="13"/>
      <c r="U84" s="13"/>
      <c r="V84" s="13"/>
      <c r="W84" s="13"/>
      <c r="X84" s="13"/>
      <c r="Y84" s="13"/>
      <c r="Z84" s="14"/>
    </row>
    <row r="85" spans="1:26" s="59" customFormat="1" ht="25.5">
      <c r="A85" s="8"/>
      <c r="B85" s="11" t="str">
        <f>+IFERROR(VLOOKUP(C85,Listas!$L$8:$M$101,2,FALSE),"")</f>
        <v>10030102</v>
      </c>
      <c r="C85" s="335" t="s">
        <v>476</v>
      </c>
      <c r="D85" s="273"/>
      <c r="E85" s="274"/>
      <c r="F85" s="584"/>
      <c r="G85" s="401" t="s">
        <v>1078</v>
      </c>
      <c r="H85" s="9" t="str">
        <f>+IF(I85=""," ",VLOOKUP(I85,Listas!$I$8:$J$10,2,FALSE))</f>
        <v xml:space="preserve"> </v>
      </c>
      <c r="I85" s="335"/>
      <c r="J85" s="369" t="str">
        <f>+IF(K85=""," ",VLOOKUP(K85,PUC!$B:$C,2,FALSE))</f>
        <v xml:space="preserve"> </v>
      </c>
      <c r="K85" s="335"/>
      <c r="L85" s="11" t="str">
        <f>+IF(M85=""," ",VLOOKUP(M85,Listas!$F$9:$G$17,2,FALSE))</f>
        <v xml:space="preserve"> </v>
      </c>
      <c r="M85" s="357"/>
      <c r="N85" s="346"/>
      <c r="O85" s="15"/>
      <c r="P85" s="16"/>
      <c r="Q85" s="16"/>
      <c r="R85" s="16"/>
      <c r="S85" s="16"/>
      <c r="T85" s="16"/>
      <c r="U85" s="16"/>
      <c r="V85" s="16"/>
      <c r="W85" s="16"/>
      <c r="X85" s="16"/>
      <c r="Y85" s="16"/>
      <c r="Z85" s="17"/>
    </row>
    <row r="86" spans="1:26" s="59" customFormat="1" ht="29.25" customHeight="1">
      <c r="A86" s="8"/>
      <c r="B86" s="11" t="str">
        <f>+IFERROR(VLOOKUP(C86,Listas!$L$8:$M$101,2,FALSE),"")</f>
        <v>10030102</v>
      </c>
      <c r="C86" s="335" t="s">
        <v>476</v>
      </c>
      <c r="D86" s="273"/>
      <c r="E86" s="274"/>
      <c r="F86" s="585" t="s">
        <v>1079</v>
      </c>
      <c r="G86" s="401" t="s">
        <v>1080</v>
      </c>
      <c r="H86" s="9" t="str">
        <f>+IF(I86=""," ",VLOOKUP(I86,Listas!$I$8:$J$10,2,FALSE))</f>
        <v xml:space="preserve"> </v>
      </c>
      <c r="I86" s="335"/>
      <c r="J86" s="369" t="str">
        <f>+IF(K86=""," ",VLOOKUP(K86,PUC!$B:$C,2,FALSE))</f>
        <v xml:space="preserve"> </v>
      </c>
      <c r="K86" s="335"/>
      <c r="L86" s="11" t="str">
        <f>+IF(M86=""," ",VLOOKUP(M86,Listas!$F$9:$G$17,2,FALSE))</f>
        <v xml:space="preserve"> </v>
      </c>
      <c r="M86" s="357"/>
      <c r="N86" s="346"/>
      <c r="O86" s="15"/>
      <c r="P86" s="16"/>
      <c r="Q86" s="16"/>
      <c r="R86" s="16"/>
      <c r="S86" s="16"/>
      <c r="T86" s="16"/>
      <c r="U86" s="16"/>
      <c r="V86" s="16"/>
      <c r="W86" s="16"/>
      <c r="X86" s="16"/>
      <c r="Y86" s="16"/>
      <c r="Z86" s="17"/>
    </row>
    <row r="87" spans="1:26" s="59" customFormat="1" ht="29.25" customHeight="1">
      <c r="A87" s="8"/>
      <c r="B87" s="11" t="str">
        <f>+IFERROR(VLOOKUP(C87,Listas!$L$8:$M$101,2,FALSE),"")</f>
        <v>10030102</v>
      </c>
      <c r="C87" s="335" t="s">
        <v>476</v>
      </c>
      <c r="D87" s="273"/>
      <c r="E87" s="274"/>
      <c r="F87" s="584"/>
      <c r="G87" s="401" t="s">
        <v>1081</v>
      </c>
      <c r="H87" s="9" t="str">
        <f>+IF(I87=""," ",VLOOKUP(I87,Listas!$I$8:$J$10,2,FALSE))</f>
        <v xml:space="preserve"> </v>
      </c>
      <c r="I87" s="335"/>
      <c r="J87" s="369" t="str">
        <f>+IF(K87=""," ",VLOOKUP(K87,PUC!$B:$C,2,FALSE))</f>
        <v xml:space="preserve"> </v>
      </c>
      <c r="K87" s="335"/>
      <c r="L87" s="11" t="str">
        <f>+IF(M87=""," ",VLOOKUP(M87,Listas!$F$9:$G$17,2,FALSE))</f>
        <v xml:space="preserve"> </v>
      </c>
      <c r="M87" s="357"/>
      <c r="N87" s="346"/>
      <c r="O87" s="15"/>
      <c r="P87" s="16"/>
      <c r="Q87" s="16"/>
      <c r="R87" s="16"/>
      <c r="S87" s="16"/>
      <c r="T87" s="16"/>
      <c r="U87" s="16"/>
      <c r="V87" s="16"/>
      <c r="W87" s="16"/>
      <c r="X87" s="16"/>
      <c r="Y87" s="16"/>
      <c r="Z87" s="17"/>
    </row>
    <row r="88" spans="1:26" s="59" customFormat="1" ht="29.25" customHeight="1">
      <c r="A88" s="8"/>
      <c r="B88" s="11" t="str">
        <f>+IFERROR(VLOOKUP(C88,Listas!$L$8:$M$101,2,FALSE),"")</f>
        <v>10030102</v>
      </c>
      <c r="C88" s="335" t="s">
        <v>476</v>
      </c>
      <c r="D88" s="273"/>
      <c r="E88" s="274"/>
      <c r="F88" s="273"/>
      <c r="G88" s="401" t="s">
        <v>1347</v>
      </c>
      <c r="H88" s="9" t="str">
        <f>+IF(I88=""," ",VLOOKUP(I88,Listas!$I$8:$J$10,2,FALSE))</f>
        <v xml:space="preserve"> </v>
      </c>
      <c r="I88" s="335"/>
      <c r="J88" s="369" t="str">
        <f>+IF(K88=""," ",VLOOKUP(K88,PUC!$B:$C,2,FALSE))</f>
        <v xml:space="preserve"> </v>
      </c>
      <c r="K88" s="335"/>
      <c r="L88" s="11" t="str">
        <f>+IF(M88=""," ",VLOOKUP(M88,Listas!$F$9:$G$17,2,FALSE))</f>
        <v xml:space="preserve"> </v>
      </c>
      <c r="M88" s="357"/>
      <c r="N88" s="346"/>
      <c r="O88" s="15"/>
      <c r="P88" s="16"/>
      <c r="Q88" s="16"/>
      <c r="R88" s="16"/>
      <c r="S88" s="16"/>
      <c r="T88" s="16"/>
      <c r="U88" s="16"/>
      <c r="V88" s="16"/>
      <c r="W88" s="16"/>
      <c r="X88" s="16"/>
      <c r="Y88" s="16"/>
      <c r="Z88" s="17"/>
    </row>
    <row r="89" spans="1:26" s="59" customFormat="1" ht="29.25" customHeight="1">
      <c r="A89" s="8"/>
      <c r="B89" s="11" t="str">
        <f>+IFERROR(VLOOKUP(C89,Listas!$L$8:$M$101,2,FALSE),"")</f>
        <v>10030102</v>
      </c>
      <c r="C89" s="335" t="s">
        <v>476</v>
      </c>
      <c r="D89" s="273"/>
      <c r="E89" s="274"/>
      <c r="F89" s="273"/>
      <c r="G89" s="401" t="s">
        <v>1082</v>
      </c>
      <c r="H89" s="9" t="str">
        <f>+IF(I89=""," ",VLOOKUP(I89,Listas!$I$8:$J$10,2,FALSE))</f>
        <v>02</v>
      </c>
      <c r="I89" s="335" t="s">
        <v>464</v>
      </c>
      <c r="J89" s="369">
        <f>+IF(K89=""," ",VLOOKUP(K89,PUC!$B:$C,2,FALSE))</f>
        <v>6208020505</v>
      </c>
      <c r="K89" s="335" t="s">
        <v>804</v>
      </c>
      <c r="L89" s="11" t="str">
        <f>+IF(M89=""," ",VLOOKUP(M89,Listas!$F$9:$G$17,2,FALSE))</f>
        <v>02</v>
      </c>
      <c r="M89" s="357" t="s">
        <v>444</v>
      </c>
      <c r="N89" s="346">
        <v>3000000</v>
      </c>
      <c r="O89" s="15"/>
      <c r="P89" s="16"/>
      <c r="Q89" s="16"/>
      <c r="R89" s="16"/>
      <c r="S89" s="16"/>
      <c r="T89" s="16"/>
      <c r="U89" s="16"/>
      <c r="V89" s="16"/>
      <c r="W89" s="16"/>
      <c r="X89" s="16"/>
      <c r="Y89" s="16"/>
      <c r="Z89" s="17"/>
    </row>
    <row r="90" spans="1:26" s="59" customFormat="1" ht="29.25" customHeight="1">
      <c r="A90" s="8"/>
      <c r="B90" s="11" t="str">
        <f>+IFERROR(VLOOKUP(C90,Listas!$L$8:$M$101,2,FALSE),"")</f>
        <v>10030102</v>
      </c>
      <c r="C90" s="335" t="s">
        <v>476</v>
      </c>
      <c r="D90" s="273"/>
      <c r="E90" s="274"/>
      <c r="F90" s="273"/>
      <c r="G90" s="401" t="s">
        <v>1083</v>
      </c>
      <c r="H90" s="9" t="str">
        <f>+IF(I90=""," ",VLOOKUP(I90,Listas!$I$8:$J$10,2,FALSE))</f>
        <v>02</v>
      </c>
      <c r="I90" s="335" t="s">
        <v>464</v>
      </c>
      <c r="J90" s="369">
        <f>+IF(K90=""," ",VLOOKUP(K90,PUC!$B:$C,2,FALSE))</f>
        <v>6208020808</v>
      </c>
      <c r="K90" s="335" t="s">
        <v>861</v>
      </c>
      <c r="L90" s="11" t="str">
        <f>+IF(M90=""," ",VLOOKUP(M90,Listas!$F$9:$G$17,2,FALSE))</f>
        <v>02</v>
      </c>
      <c r="M90" s="357" t="s">
        <v>444</v>
      </c>
      <c r="N90" s="346">
        <f>+INGRESOS!G27*8000</f>
        <v>1960000</v>
      </c>
      <c r="O90" s="15"/>
      <c r="P90" s="16"/>
      <c r="Q90" s="16"/>
      <c r="R90" s="16"/>
      <c r="S90" s="16"/>
      <c r="T90" s="16"/>
      <c r="U90" s="16"/>
      <c r="V90" s="16"/>
      <c r="W90" s="16"/>
      <c r="X90" s="16"/>
      <c r="Y90" s="16"/>
      <c r="Z90" s="17"/>
    </row>
    <row r="91" spans="1:26" s="59" customFormat="1" ht="29.25" customHeight="1" thickBot="1">
      <c r="A91" s="8"/>
      <c r="B91" s="11" t="str">
        <f>+IFERROR(VLOOKUP(C91,Listas!$L$8:$M$101,2,FALSE),"")</f>
        <v>10030102</v>
      </c>
      <c r="C91" s="335" t="s">
        <v>476</v>
      </c>
      <c r="D91" s="273"/>
      <c r="E91" s="274"/>
      <c r="F91" s="273"/>
      <c r="G91" s="401" t="s">
        <v>1084</v>
      </c>
      <c r="H91" s="9" t="str">
        <f>+IF(I91=""," ",VLOOKUP(I91,Listas!$I$8:$J$10,2,FALSE))</f>
        <v>02</v>
      </c>
      <c r="I91" s="335" t="s">
        <v>464</v>
      </c>
      <c r="J91" s="369">
        <f>+IF(K91=""," ",VLOOKUP(K91,PUC!$B:$C,2,FALSE))</f>
        <v>6208050306</v>
      </c>
      <c r="K91" s="335" t="s">
        <v>867</v>
      </c>
      <c r="L91" s="11" t="str">
        <f>+IF(M91=""," ",VLOOKUP(M91,Listas!$F$9:$G$17,2,FALSE))</f>
        <v>02</v>
      </c>
      <c r="M91" s="357" t="s">
        <v>444</v>
      </c>
      <c r="N91" s="346"/>
      <c r="O91" s="15"/>
      <c r="P91" s="16"/>
      <c r="Q91" s="16"/>
      <c r="R91" s="16"/>
      <c r="S91" s="16"/>
      <c r="T91" s="16"/>
      <c r="U91" s="16"/>
      <c r="V91" s="16"/>
      <c r="W91" s="16"/>
      <c r="X91" s="16"/>
      <c r="Y91" s="16"/>
      <c r="Z91" s="17"/>
    </row>
    <row r="92" spans="1:26" s="59" customFormat="1" ht="29.25" hidden="1" customHeight="1">
      <c r="A92" s="8"/>
      <c r="B92" s="11" t="str">
        <f>+IFERROR(VLOOKUP(C92,Listas!$L$8:$M$101,2,FALSE),"")</f>
        <v>10030102</v>
      </c>
      <c r="C92" s="335" t="s">
        <v>476</v>
      </c>
      <c r="D92" s="273"/>
      <c r="E92" s="274"/>
      <c r="F92" s="273"/>
      <c r="G92" s="401"/>
      <c r="H92" s="9" t="str">
        <f>+IF(I92=""," ",VLOOKUP(I92,Listas!$I$8:$J$10,2,FALSE))</f>
        <v xml:space="preserve"> </v>
      </c>
      <c r="I92" s="335"/>
      <c r="J92" s="369" t="str">
        <f>+IF(K92=""," ",VLOOKUP(K92,PUC!$B:$C,2,FALSE))</f>
        <v xml:space="preserve"> </v>
      </c>
      <c r="K92" s="335"/>
      <c r="L92" s="11" t="str">
        <f>+IF(M92=""," ",VLOOKUP(M92,Listas!$F$9:$G$17,2,FALSE))</f>
        <v xml:space="preserve"> </v>
      </c>
      <c r="M92" s="357"/>
      <c r="N92" s="346"/>
      <c r="O92" s="15"/>
      <c r="P92" s="16"/>
      <c r="Q92" s="16"/>
      <c r="R92" s="16"/>
      <c r="S92" s="16"/>
      <c r="T92" s="16"/>
      <c r="U92" s="16"/>
      <c r="V92" s="16"/>
      <c r="W92" s="16"/>
      <c r="X92" s="16"/>
      <c r="Y92" s="16"/>
      <c r="Z92" s="17"/>
    </row>
    <row r="93" spans="1:26" s="59" customFormat="1" ht="29.25" hidden="1" customHeight="1">
      <c r="A93" s="8"/>
      <c r="B93" s="11" t="str">
        <f>+IFERROR(VLOOKUP(C93,Listas!$L$8:$M$101,2,FALSE),"")</f>
        <v>10030102</v>
      </c>
      <c r="C93" s="335" t="s">
        <v>476</v>
      </c>
      <c r="D93" s="273"/>
      <c r="E93" s="274"/>
      <c r="F93" s="273"/>
      <c r="G93" s="401"/>
      <c r="H93" s="9" t="str">
        <f>+IF(I93=""," ",VLOOKUP(I93,Listas!$I$8:$J$10,2,FALSE))</f>
        <v>02</v>
      </c>
      <c r="I93" s="335" t="s">
        <v>464</v>
      </c>
      <c r="J93" s="369">
        <f>+IF(K93=""," ",VLOOKUP(K93,PUC!$B:$C,2,FALSE))</f>
        <v>6208022001</v>
      </c>
      <c r="K93" s="335" t="s">
        <v>801</v>
      </c>
      <c r="L93" s="11" t="str">
        <f>+IF(M93=""," ",VLOOKUP(M93,Listas!$F$9:$G$17,2,FALSE))</f>
        <v>02</v>
      </c>
      <c r="M93" s="357" t="s">
        <v>444</v>
      </c>
      <c r="N93" s="346"/>
      <c r="O93" s="15"/>
      <c r="P93" s="16"/>
      <c r="Q93" s="16"/>
      <c r="R93" s="16"/>
      <c r="S93" s="16"/>
      <c r="T93" s="16"/>
      <c r="U93" s="16"/>
      <c r="V93" s="16"/>
      <c r="W93" s="16"/>
      <c r="X93" s="16"/>
      <c r="Y93" s="16"/>
      <c r="Z93" s="17"/>
    </row>
    <row r="94" spans="1:26" s="59" customFormat="1" ht="29.25" hidden="1" customHeight="1">
      <c r="A94" s="8"/>
      <c r="B94" s="11" t="str">
        <f>+IFERROR(VLOOKUP(C94,Listas!$L$8:$M$101,2,FALSE),"")</f>
        <v>10030102</v>
      </c>
      <c r="C94" s="335" t="s">
        <v>476</v>
      </c>
      <c r="D94" s="273"/>
      <c r="E94" s="274"/>
      <c r="F94" s="273"/>
      <c r="G94" s="274"/>
      <c r="H94" s="9" t="str">
        <f>+IF(I94=""," ",VLOOKUP(I94,Listas!$I$8:$J$10,2,FALSE))</f>
        <v>02</v>
      </c>
      <c r="I94" s="335" t="s">
        <v>464</v>
      </c>
      <c r="J94" s="369">
        <f>+IF(K94=""," ",VLOOKUP(K94,PUC!$B:$C,2,FALSE))</f>
        <v>6208021401</v>
      </c>
      <c r="K94" s="335" t="s">
        <v>868</v>
      </c>
      <c r="L94" s="11" t="str">
        <f>+IF(M94=""," ",VLOOKUP(M94,Listas!$F$9:$G$17,2,FALSE))</f>
        <v>02</v>
      </c>
      <c r="M94" s="357" t="s">
        <v>444</v>
      </c>
      <c r="N94" s="346"/>
      <c r="O94" s="15"/>
      <c r="P94" s="16"/>
      <c r="Q94" s="16"/>
      <c r="R94" s="16"/>
      <c r="S94" s="16"/>
      <c r="T94" s="16"/>
      <c r="U94" s="16"/>
      <c r="V94" s="16"/>
      <c r="W94" s="16"/>
      <c r="X94" s="16"/>
      <c r="Y94" s="16"/>
      <c r="Z94" s="17"/>
    </row>
    <row r="95" spans="1:26" s="59" customFormat="1" ht="29.25" hidden="1" customHeight="1">
      <c r="A95" s="8"/>
      <c r="B95" s="11" t="str">
        <f>+IFERROR(VLOOKUP(C95,Listas!$L$8:$M$101,2,FALSE),"")</f>
        <v>10030102</v>
      </c>
      <c r="C95" s="335" t="s">
        <v>476</v>
      </c>
      <c r="D95" s="273"/>
      <c r="E95" s="274"/>
      <c r="F95" s="273"/>
      <c r="G95" s="274"/>
      <c r="H95" s="9" t="str">
        <f>+IF(I95=""," ",VLOOKUP(I95,Listas!$I$8:$J$10,2,FALSE))</f>
        <v xml:space="preserve"> </v>
      </c>
      <c r="I95" s="335"/>
      <c r="J95" s="369" t="str">
        <f>+IF(K95=""," ",VLOOKUP(K95,PUC!$B:$C,2,FALSE))</f>
        <v xml:space="preserve"> </v>
      </c>
      <c r="K95" s="335"/>
      <c r="L95" s="11" t="str">
        <f>+IF(M95=""," ",VLOOKUP(M95,Listas!$F$9:$G$17,2,FALSE))</f>
        <v xml:space="preserve"> </v>
      </c>
      <c r="M95" s="357"/>
      <c r="N95" s="346"/>
      <c r="O95" s="15"/>
      <c r="P95" s="16"/>
      <c r="Q95" s="16"/>
      <c r="R95" s="16"/>
      <c r="S95" s="16"/>
      <c r="T95" s="16"/>
      <c r="U95" s="16"/>
      <c r="V95" s="16"/>
      <c r="W95" s="16"/>
      <c r="X95" s="16"/>
      <c r="Y95" s="16"/>
      <c r="Z95" s="17"/>
    </row>
    <row r="96" spans="1:26" s="59" customFormat="1" ht="29.25" hidden="1" customHeight="1">
      <c r="A96" s="8"/>
      <c r="B96" s="11" t="str">
        <f>+IFERROR(VLOOKUP(C96,Listas!$L$8:$M$101,2,FALSE),"")</f>
        <v>10030102</v>
      </c>
      <c r="C96" s="335" t="s">
        <v>476</v>
      </c>
      <c r="D96" s="273"/>
      <c r="E96" s="274"/>
      <c r="F96" s="273"/>
      <c r="G96" s="274"/>
      <c r="H96" s="9" t="str">
        <f>+IF(I96=""," ",VLOOKUP(I96,Listas!$I$8:$J$10,2,FALSE))</f>
        <v xml:space="preserve"> </v>
      </c>
      <c r="I96" s="335"/>
      <c r="J96" s="369" t="str">
        <f>+IF(K96=""," ",VLOOKUP(K96,PUC!$B:$C,2,FALSE))</f>
        <v xml:space="preserve"> </v>
      </c>
      <c r="K96" s="335"/>
      <c r="L96" s="11" t="str">
        <f>+IF(M96=""," ",VLOOKUP(M96,Listas!$F$9:$G$17,2,FALSE))</f>
        <v xml:space="preserve"> </v>
      </c>
      <c r="M96" s="357"/>
      <c r="N96" s="346"/>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35" t="s">
        <v>476</v>
      </c>
      <c r="D97" s="273"/>
      <c r="E97" s="274"/>
      <c r="F97" s="273"/>
      <c r="G97" s="274"/>
      <c r="H97" s="9" t="str">
        <f>+IF(I97=""," ",VLOOKUP(I97,Listas!$I$8:$J$10,2,FALSE))</f>
        <v xml:space="preserve"> </v>
      </c>
      <c r="I97" s="335"/>
      <c r="J97" s="369" t="str">
        <f>+IF(K97=""," ",VLOOKUP(K97,PUC!$B:$C,2,FALSE))</f>
        <v xml:space="preserve"> </v>
      </c>
      <c r="K97" s="335"/>
      <c r="L97" s="11" t="str">
        <f>+IF(M97=""," ",VLOOKUP(M97,Listas!$F$9:$G$17,2,FALSE))</f>
        <v xml:space="preserve"> </v>
      </c>
      <c r="M97" s="357"/>
      <c r="N97" s="346"/>
      <c r="O97" s="15"/>
      <c r="P97" s="16"/>
      <c r="Q97" s="16"/>
      <c r="R97" s="16"/>
      <c r="S97" s="16"/>
      <c r="T97" s="16"/>
      <c r="U97" s="16"/>
      <c r="V97" s="16"/>
      <c r="W97" s="16"/>
      <c r="X97" s="16"/>
      <c r="Y97" s="16"/>
      <c r="Z97" s="17"/>
    </row>
    <row r="98" spans="1:26" s="59" customFormat="1" ht="29.25" hidden="1" customHeight="1" thickBot="1">
      <c r="A98" s="8"/>
      <c r="B98" s="22" t="str">
        <f>+IFERROR(VLOOKUP(C98,Listas!$L$8:$M$101,2,FALSE),"")</f>
        <v>10030102</v>
      </c>
      <c r="C98" s="341" t="s">
        <v>476</v>
      </c>
      <c r="D98" s="277"/>
      <c r="E98" s="278"/>
      <c r="F98" s="277"/>
      <c r="G98" s="278"/>
      <c r="H98" s="21" t="str">
        <f>+IF(I98=""," ",VLOOKUP(I98,Listas!$I$8:$J$10,2,FALSE))</f>
        <v xml:space="preserve"> </v>
      </c>
      <c r="I98" s="341"/>
      <c r="J98" s="376" t="str">
        <f>+IF(K98=""," ",VLOOKUP(K98,PUC!$B:$C,2,FALSE))</f>
        <v xml:space="preserve"> </v>
      </c>
      <c r="K98" s="341"/>
      <c r="L98" s="22" t="str">
        <f>+IF(M98=""," ",VLOOKUP(M98,Listas!$F$9:$G$17,2,FALSE))</f>
        <v xml:space="preserve"> </v>
      </c>
      <c r="M98" s="359"/>
      <c r="N98" s="348"/>
      <c r="O98" s="23"/>
      <c r="P98" s="24"/>
      <c r="Q98" s="24"/>
      <c r="R98" s="24"/>
      <c r="S98" s="24"/>
      <c r="T98" s="24"/>
      <c r="U98" s="24"/>
      <c r="V98" s="24"/>
      <c r="W98" s="24"/>
      <c r="X98" s="24"/>
      <c r="Y98" s="24"/>
      <c r="Z98" s="25"/>
    </row>
    <row r="99" spans="1:26" s="59" customFormat="1" ht="51">
      <c r="A99" s="8"/>
      <c r="B99" s="20" t="str">
        <f>+IFERROR(VLOOKUP(C99,Listas!$L$8:$M$101,2,FALSE),"")</f>
        <v>10040101</v>
      </c>
      <c r="C99" s="340" t="s">
        <v>477</v>
      </c>
      <c r="D99" s="275"/>
      <c r="E99" s="276"/>
      <c r="F99" s="582" t="s">
        <v>1085</v>
      </c>
      <c r="G99" s="402" t="s">
        <v>1086</v>
      </c>
      <c r="H99" s="18" t="str">
        <f>+IF(I99=""," ",VLOOKUP(I99,Listas!$I$8:$J$10,2,FALSE))</f>
        <v xml:space="preserve"> </v>
      </c>
      <c r="I99" s="340"/>
      <c r="J99" s="375" t="str">
        <f>+IF(K99=""," ",VLOOKUP(K99,PUC!$B:$C,2,FALSE))</f>
        <v xml:space="preserve"> </v>
      </c>
      <c r="K99" s="340"/>
      <c r="L99" s="20" t="str">
        <f>+IF(M99=""," ",VLOOKUP(M99,Listas!$F$9:$G$17,2,FALSE))</f>
        <v xml:space="preserve"> </v>
      </c>
      <c r="M99" s="358"/>
      <c r="N99" s="347"/>
      <c r="O99" s="12"/>
      <c r="P99" s="13"/>
      <c r="Q99" s="13"/>
      <c r="R99" s="13"/>
      <c r="S99" s="13"/>
      <c r="T99" s="13"/>
      <c r="U99" s="13"/>
      <c r="V99" s="13"/>
      <c r="W99" s="13"/>
      <c r="X99" s="13"/>
      <c r="Y99" s="13"/>
      <c r="Z99" s="14"/>
    </row>
    <row r="100" spans="1:26" s="59" customFormat="1" ht="51">
      <c r="A100" s="8"/>
      <c r="B100" s="11" t="str">
        <f>+IFERROR(VLOOKUP(C100,Listas!$L$8:$M$101,2,FALSE),"")</f>
        <v>10040101</v>
      </c>
      <c r="C100" s="335" t="s">
        <v>477</v>
      </c>
      <c r="D100" s="273"/>
      <c r="E100" s="274"/>
      <c r="F100" s="584"/>
      <c r="G100" s="401" t="s">
        <v>1087</v>
      </c>
      <c r="H100" s="9" t="str">
        <f>+IF(I100=""," ",VLOOKUP(I100,Listas!$I$8:$J$10,2,FALSE))</f>
        <v xml:space="preserve"> </v>
      </c>
      <c r="I100" s="335"/>
      <c r="J100" s="369" t="str">
        <f>+IF(K100=""," ",VLOOKUP(K100,PUC!$B:$C,2,FALSE))</f>
        <v xml:space="preserve"> </v>
      </c>
      <c r="K100" s="335"/>
      <c r="L100" s="11" t="str">
        <f>+IF(M100=""," ",VLOOKUP(M100,Listas!$F$9:$G$17,2,FALSE))</f>
        <v xml:space="preserve"> </v>
      </c>
      <c r="M100" s="357"/>
      <c r="N100" s="346"/>
      <c r="O100" s="15"/>
      <c r="P100" s="16"/>
      <c r="Q100" s="16"/>
      <c r="R100" s="16"/>
      <c r="S100" s="16"/>
      <c r="T100" s="16"/>
      <c r="U100" s="16"/>
      <c r="V100" s="16"/>
      <c r="W100" s="16"/>
      <c r="X100" s="16"/>
      <c r="Y100" s="16"/>
      <c r="Z100" s="17"/>
    </row>
    <row r="101" spans="1:26" s="59" customFormat="1" ht="51">
      <c r="A101" s="8"/>
      <c r="B101" s="11" t="str">
        <f>+IFERROR(VLOOKUP(C101,Listas!$L$8:$M$101,2,FALSE),"")</f>
        <v>10040101</v>
      </c>
      <c r="C101" s="335" t="s">
        <v>477</v>
      </c>
      <c r="D101" s="273"/>
      <c r="E101" s="274"/>
      <c r="F101" s="585" t="s">
        <v>1088</v>
      </c>
      <c r="G101" s="401" t="s">
        <v>1089</v>
      </c>
      <c r="H101" s="9" t="str">
        <f>+IF(I101=""," ",VLOOKUP(I101,Listas!$I$8:$J$10,2,FALSE))</f>
        <v xml:space="preserve"> </v>
      </c>
      <c r="I101" s="335"/>
      <c r="J101" s="369" t="str">
        <f>+IF(K101=""," ",VLOOKUP(K101,PUC!$B:$C,2,FALSE))</f>
        <v xml:space="preserve"> </v>
      </c>
      <c r="K101" s="335"/>
      <c r="L101" s="11" t="str">
        <f>+IF(M101=""," ",VLOOKUP(M101,Listas!$F$9:$G$17,2,FALSE))</f>
        <v xml:space="preserve"> </v>
      </c>
      <c r="M101" s="357"/>
      <c r="N101" s="346"/>
      <c r="O101" s="15"/>
      <c r="P101" s="16"/>
      <c r="Q101" s="16"/>
      <c r="R101" s="16"/>
      <c r="S101" s="16"/>
      <c r="T101" s="16"/>
      <c r="U101" s="16"/>
      <c r="V101" s="16"/>
      <c r="W101" s="16"/>
      <c r="X101" s="16"/>
      <c r="Y101" s="16"/>
      <c r="Z101" s="17"/>
    </row>
    <row r="102" spans="1:26" s="59" customFormat="1" ht="51">
      <c r="A102" s="8"/>
      <c r="B102" s="11" t="str">
        <f>+IFERROR(VLOOKUP(C102,Listas!$L$8:$M$101,2,FALSE),"")</f>
        <v>10040101</v>
      </c>
      <c r="C102" s="335" t="s">
        <v>477</v>
      </c>
      <c r="D102" s="273"/>
      <c r="E102" s="274"/>
      <c r="F102" s="584"/>
      <c r="G102" s="401" t="s">
        <v>1090</v>
      </c>
      <c r="H102" s="9" t="str">
        <f>+IF(I102=""," ",VLOOKUP(I102,Listas!$I$8:$J$10,2,FALSE))</f>
        <v xml:space="preserve"> </v>
      </c>
      <c r="I102" s="335"/>
      <c r="J102" s="369" t="str">
        <f>+IF(K102=""," ",VLOOKUP(K102,PUC!$B:$C,2,FALSE))</f>
        <v xml:space="preserve"> </v>
      </c>
      <c r="K102" s="335"/>
      <c r="L102" s="11" t="str">
        <f>+IF(M102=""," ",VLOOKUP(M102,Listas!$F$9:$G$17,2,FALSE))</f>
        <v xml:space="preserve"> </v>
      </c>
      <c r="M102" s="357"/>
      <c r="N102" s="346"/>
      <c r="O102" s="15"/>
      <c r="P102" s="16"/>
      <c r="Q102" s="16"/>
      <c r="R102" s="16"/>
      <c r="S102" s="16"/>
      <c r="T102" s="16"/>
      <c r="U102" s="16"/>
      <c r="V102" s="16"/>
      <c r="W102" s="16"/>
      <c r="X102" s="16"/>
      <c r="Y102" s="16"/>
      <c r="Z102" s="17"/>
    </row>
    <row r="103" spans="1:26" s="59" customFormat="1" ht="51">
      <c r="A103" s="8"/>
      <c r="B103" s="11" t="str">
        <f>+IFERROR(VLOOKUP(C103,Listas!$L$8:$M$101,2,FALSE),"")</f>
        <v>10040101</v>
      </c>
      <c r="C103" s="335" t="s">
        <v>477</v>
      </c>
      <c r="D103" s="273"/>
      <c r="E103" s="274"/>
      <c r="F103" s="585" t="s">
        <v>1091</v>
      </c>
      <c r="G103" s="401" t="s">
        <v>1092</v>
      </c>
      <c r="H103" s="9" t="str">
        <f>+IF(I103=""," ",VLOOKUP(I103,Listas!$I$8:$J$10,2,FALSE))</f>
        <v xml:space="preserve"> </v>
      </c>
      <c r="I103" s="335"/>
      <c r="J103" s="369" t="str">
        <f>+IF(K103=""," ",VLOOKUP(K103,PUC!$B:$C,2,FALSE))</f>
        <v xml:space="preserve"> </v>
      </c>
      <c r="K103" s="335"/>
      <c r="L103" s="11" t="str">
        <f>+IF(M103=""," ",VLOOKUP(M103,Listas!$F$9:$G$17,2,FALSE))</f>
        <v xml:space="preserve"> </v>
      </c>
      <c r="M103" s="357"/>
      <c r="N103" s="346"/>
      <c r="O103" s="15"/>
      <c r="P103" s="16"/>
      <c r="Q103" s="16"/>
      <c r="R103" s="16"/>
      <c r="S103" s="16"/>
      <c r="T103" s="16"/>
      <c r="U103" s="16"/>
      <c r="V103" s="16"/>
      <c r="W103" s="16"/>
      <c r="X103" s="16"/>
      <c r="Y103" s="16"/>
      <c r="Z103" s="17"/>
    </row>
    <row r="104" spans="1:26" s="59" customFormat="1" ht="51">
      <c r="A104" s="8"/>
      <c r="B104" s="11" t="str">
        <f>+IFERROR(VLOOKUP(C104,Listas!$L$8:$M$101,2,FALSE),"")</f>
        <v>10040101</v>
      </c>
      <c r="C104" s="335" t="s">
        <v>477</v>
      </c>
      <c r="D104" s="273"/>
      <c r="E104" s="274"/>
      <c r="F104" s="584"/>
      <c r="G104" s="401" t="s">
        <v>1093</v>
      </c>
      <c r="H104" s="9" t="str">
        <f>+IF(I104=""," ",VLOOKUP(I104,Listas!$I$8:$J$10,2,FALSE))</f>
        <v xml:space="preserve"> </v>
      </c>
      <c r="I104" s="335"/>
      <c r="J104" s="369" t="str">
        <f>+IF(K104=""," ",VLOOKUP(K104,PUC!$B:$C,2,FALSE))</f>
        <v xml:space="preserve"> </v>
      </c>
      <c r="K104" s="335"/>
      <c r="L104" s="11" t="str">
        <f>+IF(M104=""," ",VLOOKUP(M104,Listas!$F$9:$G$17,2,FALSE))</f>
        <v xml:space="preserve"> </v>
      </c>
      <c r="M104" s="357"/>
      <c r="N104" s="346"/>
      <c r="O104" s="15"/>
      <c r="P104" s="16"/>
      <c r="Q104" s="16"/>
      <c r="R104" s="16"/>
      <c r="S104" s="16"/>
      <c r="T104" s="16"/>
      <c r="U104" s="16"/>
      <c r="V104" s="16"/>
      <c r="W104" s="16"/>
      <c r="X104" s="16"/>
      <c r="Y104" s="16"/>
      <c r="Z104" s="17"/>
    </row>
    <row r="105" spans="1:26" s="59" customFormat="1" ht="51">
      <c r="A105" s="8"/>
      <c r="B105" s="11" t="str">
        <f>+IFERROR(VLOOKUP(C105,Listas!$L$8:$M$101,2,FALSE),"")</f>
        <v>10040101</v>
      </c>
      <c r="C105" s="335" t="s">
        <v>477</v>
      </c>
      <c r="D105" s="273"/>
      <c r="E105" s="274"/>
      <c r="F105" s="585" t="s">
        <v>1094</v>
      </c>
      <c r="G105" s="401" t="s">
        <v>1095</v>
      </c>
      <c r="H105" s="9" t="str">
        <f>+IF(I105=""," ",VLOOKUP(I105,Listas!$I$8:$J$10,2,FALSE))</f>
        <v xml:space="preserve"> </v>
      </c>
      <c r="I105" s="335"/>
      <c r="J105" s="369" t="str">
        <f>+IF(K105=""," ",VLOOKUP(K105,PUC!$B:$C,2,FALSE))</f>
        <v xml:space="preserve"> </v>
      </c>
      <c r="K105" s="335"/>
      <c r="L105" s="11" t="str">
        <f>+IF(M105=""," ",VLOOKUP(M105,Listas!$F$9:$G$17,2,FALSE))</f>
        <v xml:space="preserve"> </v>
      </c>
      <c r="M105" s="357"/>
      <c r="N105" s="346"/>
      <c r="O105" s="15"/>
      <c r="P105" s="16"/>
      <c r="Q105" s="16"/>
      <c r="R105" s="16"/>
      <c r="S105" s="16"/>
      <c r="T105" s="16"/>
      <c r="U105" s="16"/>
      <c r="V105" s="16"/>
      <c r="W105" s="16"/>
      <c r="X105" s="16"/>
      <c r="Y105" s="16"/>
      <c r="Z105" s="17"/>
    </row>
    <row r="106" spans="1:26" s="59" customFormat="1" ht="51">
      <c r="A106" s="8"/>
      <c r="B106" s="11" t="str">
        <f>+IFERROR(VLOOKUP(C106,Listas!$L$8:$M$101,2,FALSE),"")</f>
        <v>10040101</v>
      </c>
      <c r="C106" s="335" t="s">
        <v>477</v>
      </c>
      <c r="D106" s="273"/>
      <c r="E106" s="274"/>
      <c r="F106" s="584"/>
      <c r="G106" s="401" t="s">
        <v>1096</v>
      </c>
      <c r="H106" s="9" t="str">
        <f>+IF(I106=""," ",VLOOKUP(I106,Listas!$I$8:$J$10,2,FALSE))</f>
        <v xml:space="preserve"> </v>
      </c>
      <c r="I106" s="335"/>
      <c r="J106" s="369" t="str">
        <f>+IF(K106=""," ",VLOOKUP(K106,PUC!$B:$C,2,FALSE))</f>
        <v xml:space="preserve"> </v>
      </c>
      <c r="K106" s="335"/>
      <c r="L106" s="11" t="str">
        <f>+IF(M106=""," ",VLOOKUP(M106,Listas!$F$9:$G$17,2,FALSE))</f>
        <v xml:space="preserve"> </v>
      </c>
      <c r="M106" s="357"/>
      <c r="N106" s="346"/>
      <c r="O106" s="15"/>
      <c r="P106" s="16"/>
      <c r="Q106" s="16"/>
      <c r="R106" s="16"/>
      <c r="S106" s="16"/>
      <c r="T106" s="16"/>
      <c r="U106" s="16"/>
      <c r="V106" s="16"/>
      <c r="W106" s="16"/>
      <c r="X106" s="16"/>
      <c r="Y106" s="16"/>
      <c r="Z106" s="17"/>
    </row>
    <row r="107" spans="1:26" s="59" customFormat="1" ht="51">
      <c r="A107" s="8"/>
      <c r="B107" s="11" t="str">
        <f>+IFERROR(VLOOKUP(C107,Listas!$L$8:$M$101,2,FALSE),"")</f>
        <v>10040101</v>
      </c>
      <c r="C107" s="335" t="s">
        <v>477</v>
      </c>
      <c r="D107" s="273"/>
      <c r="E107" s="274"/>
      <c r="F107" s="585" t="s">
        <v>1097</v>
      </c>
      <c r="G107" s="401" t="s">
        <v>1098</v>
      </c>
      <c r="H107" s="9" t="str">
        <f>+IF(I107=""," ",VLOOKUP(I107,Listas!$I$8:$J$10,2,FALSE))</f>
        <v xml:space="preserve"> </v>
      </c>
      <c r="I107" s="335"/>
      <c r="J107" s="369" t="str">
        <f>+IF(K107=""," ",VLOOKUP(K107,PUC!$B:$C,2,FALSE))</f>
        <v xml:space="preserve"> </v>
      </c>
      <c r="K107" s="335"/>
      <c r="L107" s="11" t="str">
        <f>+IF(M107=""," ",VLOOKUP(M107,Listas!$F$9:$G$17,2,FALSE))</f>
        <v xml:space="preserve"> </v>
      </c>
      <c r="M107" s="357"/>
      <c r="N107" s="346"/>
      <c r="O107" s="15"/>
      <c r="P107" s="16"/>
      <c r="Q107" s="16"/>
      <c r="R107" s="16"/>
      <c r="S107" s="16"/>
      <c r="T107" s="16"/>
      <c r="U107" s="16"/>
      <c r="V107" s="16"/>
      <c r="W107" s="16"/>
      <c r="X107" s="16"/>
      <c r="Y107" s="16"/>
      <c r="Z107" s="17"/>
    </row>
    <row r="108" spans="1:26" s="59" customFormat="1" ht="51">
      <c r="A108" s="8"/>
      <c r="B108" s="11" t="str">
        <f>+IFERROR(VLOOKUP(C108,Listas!$L$8:$M$101,2,FALSE),"")</f>
        <v>10040101</v>
      </c>
      <c r="C108" s="335" t="s">
        <v>477</v>
      </c>
      <c r="D108" s="273"/>
      <c r="E108" s="274"/>
      <c r="F108" s="584"/>
      <c r="G108" s="401" t="s">
        <v>1099</v>
      </c>
      <c r="H108" s="9" t="str">
        <f>+IF(I108=""," ",VLOOKUP(I108,Listas!$I$8:$J$10,2,FALSE))</f>
        <v xml:space="preserve"> </v>
      </c>
      <c r="I108" s="335"/>
      <c r="J108" s="369" t="str">
        <f>+IF(K108=""," ",VLOOKUP(K108,PUC!$B:$C,2,FALSE))</f>
        <v xml:space="preserve"> </v>
      </c>
      <c r="K108" s="335"/>
      <c r="L108" s="11" t="str">
        <f>+IF(M108=""," ",VLOOKUP(M108,Listas!$F$9:$G$17,2,FALSE))</f>
        <v xml:space="preserve"> </v>
      </c>
      <c r="M108" s="357"/>
      <c r="N108" s="346"/>
      <c r="O108" s="15"/>
      <c r="P108" s="16"/>
      <c r="Q108" s="16"/>
      <c r="R108" s="16"/>
      <c r="S108" s="16"/>
      <c r="T108" s="16"/>
      <c r="U108" s="16"/>
      <c r="V108" s="16"/>
      <c r="W108" s="16"/>
      <c r="X108" s="16"/>
      <c r="Y108" s="16"/>
      <c r="Z108" s="17"/>
    </row>
    <row r="109" spans="1:26" s="59" customFormat="1" ht="51">
      <c r="A109" s="8"/>
      <c r="B109" s="11" t="str">
        <f>+IFERROR(VLOOKUP(C109,Listas!$L$8:$M$101,2,FALSE),"")</f>
        <v>10040101</v>
      </c>
      <c r="C109" s="335" t="s">
        <v>477</v>
      </c>
      <c r="D109" s="273"/>
      <c r="E109" s="274"/>
      <c r="F109" s="585" t="s">
        <v>1100</v>
      </c>
      <c r="G109" s="401" t="s">
        <v>1101</v>
      </c>
      <c r="H109" s="9" t="str">
        <f>+IF(I109=""," ",VLOOKUP(I109,Listas!$I$8:$J$10,2,FALSE))</f>
        <v xml:space="preserve"> </v>
      </c>
      <c r="I109" s="335"/>
      <c r="J109" s="369" t="str">
        <f>+IF(K109=""," ",VLOOKUP(K109,PUC!$B:$C,2,FALSE))</f>
        <v xml:space="preserve"> </v>
      </c>
      <c r="K109" s="335"/>
      <c r="L109" s="11" t="str">
        <f>+IF(M109=""," ",VLOOKUP(M109,Listas!$F$9:$G$17,2,FALSE))</f>
        <v xml:space="preserve"> </v>
      </c>
      <c r="M109" s="357"/>
      <c r="N109" s="346"/>
      <c r="O109" s="15"/>
      <c r="P109" s="16"/>
      <c r="Q109" s="16"/>
      <c r="R109" s="16"/>
      <c r="S109" s="16"/>
      <c r="T109" s="16"/>
      <c r="U109" s="16"/>
      <c r="V109" s="16"/>
      <c r="W109" s="16"/>
      <c r="X109" s="16"/>
      <c r="Y109" s="16"/>
      <c r="Z109" s="17"/>
    </row>
    <row r="110" spans="1:26" s="59" customFormat="1" ht="51">
      <c r="A110" s="8"/>
      <c r="B110" s="11" t="str">
        <f>+IFERROR(VLOOKUP(C110,Listas!$L$8:$M$101,2,FALSE),"")</f>
        <v>10040101</v>
      </c>
      <c r="C110" s="335" t="s">
        <v>477</v>
      </c>
      <c r="D110" s="273"/>
      <c r="E110" s="274"/>
      <c r="F110" s="584"/>
      <c r="G110" s="401" t="s">
        <v>1102</v>
      </c>
      <c r="H110" s="9" t="str">
        <f>+IF(I110=""," ",VLOOKUP(I110,Listas!$I$8:$J$10,2,FALSE))</f>
        <v xml:space="preserve"> </v>
      </c>
      <c r="I110" s="335"/>
      <c r="J110" s="369" t="str">
        <f>+IF(K110=""," ",VLOOKUP(K110,PUC!$B:$C,2,FALSE))</f>
        <v xml:space="preserve"> </v>
      </c>
      <c r="K110" s="335"/>
      <c r="L110" s="11" t="str">
        <f>+IF(M110=""," ",VLOOKUP(M110,Listas!$F$9:$G$17,2,FALSE))</f>
        <v xml:space="preserve"> </v>
      </c>
      <c r="M110" s="357"/>
      <c r="N110" s="346"/>
      <c r="O110" s="15"/>
      <c r="P110" s="16"/>
      <c r="Q110" s="16"/>
      <c r="R110" s="16"/>
      <c r="S110" s="16"/>
      <c r="T110" s="16"/>
      <c r="U110" s="16"/>
      <c r="V110" s="16"/>
      <c r="W110" s="16"/>
      <c r="X110" s="16"/>
      <c r="Y110" s="16"/>
      <c r="Z110" s="17"/>
    </row>
    <row r="111" spans="1:26" s="59" customFormat="1" ht="40.5" customHeight="1">
      <c r="A111" s="8"/>
      <c r="B111" s="11" t="str">
        <f>+IFERROR(VLOOKUP(C111,Listas!$L$8:$M$101,2,FALSE),"")</f>
        <v>10040101</v>
      </c>
      <c r="C111" s="335" t="s">
        <v>477</v>
      </c>
      <c r="D111" s="273"/>
      <c r="E111" s="274"/>
      <c r="F111" s="585" t="s">
        <v>1103</v>
      </c>
      <c r="G111" s="585" t="s">
        <v>1104</v>
      </c>
      <c r="H111" s="9" t="str">
        <f>+IF(I111=""," ",VLOOKUP(I111,Listas!$I$8:$J$10,2,FALSE))</f>
        <v>02</v>
      </c>
      <c r="I111" s="335" t="s">
        <v>464</v>
      </c>
      <c r="J111" s="369">
        <f>+IF(K111=""," ",VLOOKUP(K111,PUC!$B:$C,2,FALSE))</f>
        <v>6208020101</v>
      </c>
      <c r="K111" s="335" t="s">
        <v>795</v>
      </c>
      <c r="L111" s="11" t="str">
        <f>+IF(M111=""," ",VLOOKUP(M111,Listas!$F$9:$G$17,2,FALSE))</f>
        <v>02</v>
      </c>
      <c r="M111" s="357" t="s">
        <v>444</v>
      </c>
      <c r="N111" s="346">
        <v>500000</v>
      </c>
      <c r="O111" s="15"/>
      <c r="P111" s="16"/>
      <c r="Q111" s="16"/>
      <c r="R111" s="16"/>
      <c r="S111" s="16"/>
      <c r="T111" s="16"/>
      <c r="U111" s="16"/>
      <c r="V111" s="16"/>
      <c r="W111" s="16"/>
      <c r="X111" s="16"/>
      <c r="Y111" s="16"/>
      <c r="Z111" s="17"/>
    </row>
    <row r="112" spans="1:26" s="59" customFormat="1" ht="51">
      <c r="A112" s="8"/>
      <c r="B112" s="11" t="str">
        <f>+IFERROR(VLOOKUP(C112,Listas!$L$8:$M$101,2,FALSE),"")</f>
        <v>10040101</v>
      </c>
      <c r="C112" s="335" t="s">
        <v>477</v>
      </c>
      <c r="D112" s="273"/>
      <c r="E112" s="274"/>
      <c r="F112" s="584"/>
      <c r="G112" s="583"/>
      <c r="H112" s="9" t="str">
        <f>+IF(I112=""," ",VLOOKUP(I112,Listas!$I$8:$J$10,2,FALSE))</f>
        <v>02</v>
      </c>
      <c r="I112" s="335" t="s">
        <v>464</v>
      </c>
      <c r="J112" s="369">
        <f>+IF(K112=""," ",VLOOKUP(K112,PUC!$B:$C,2,FALSE))</f>
        <v>6208020503</v>
      </c>
      <c r="K112" s="335" t="s">
        <v>805</v>
      </c>
      <c r="L112" s="11" t="str">
        <f>+IF(M112=""," ",VLOOKUP(M112,Listas!$F$9:$G$17,2,FALSE))</f>
        <v>02</v>
      </c>
      <c r="M112" s="357" t="s">
        <v>444</v>
      </c>
      <c r="N112" s="346">
        <v>300000</v>
      </c>
      <c r="O112" s="15"/>
      <c r="P112" s="16"/>
      <c r="Q112" s="16"/>
      <c r="R112" s="16"/>
      <c r="S112" s="16"/>
      <c r="T112" s="16"/>
      <c r="U112" s="16"/>
      <c r="V112" s="16"/>
      <c r="W112" s="16"/>
      <c r="X112" s="16"/>
      <c r="Y112" s="16"/>
      <c r="Z112" s="17"/>
    </row>
    <row r="113" spans="1:26" s="59" customFormat="1" ht="29.25" customHeight="1">
      <c r="A113" s="8"/>
      <c r="B113" s="11" t="str">
        <f>+IFERROR(VLOOKUP(C113,Listas!$L$8:$M$101,2,FALSE),"")</f>
        <v>10040101</v>
      </c>
      <c r="C113" s="335" t="s">
        <v>477</v>
      </c>
      <c r="D113" s="273"/>
      <c r="E113" s="274"/>
      <c r="F113" s="370"/>
      <c r="G113" s="584"/>
      <c r="H113" s="9" t="str">
        <f>+IF(I113=""," ",VLOOKUP(I113,Listas!$I$8:$J$10,2,FALSE))</f>
        <v>02</v>
      </c>
      <c r="I113" s="335" t="s">
        <v>464</v>
      </c>
      <c r="J113" s="369">
        <f>+IF(K113=""," ",VLOOKUP(K113,PUC!$B:$C,2,FALSE))</f>
        <v>6208022001</v>
      </c>
      <c r="K113" s="335" t="s">
        <v>801</v>
      </c>
      <c r="L113" s="11" t="str">
        <f>+IF(M113=""," ",VLOOKUP(M113,Listas!$F$9:$G$17,2,FALSE))</f>
        <v>02</v>
      </c>
      <c r="M113" s="357" t="s">
        <v>444</v>
      </c>
      <c r="N113" s="346">
        <v>200000</v>
      </c>
      <c r="O113" s="15"/>
      <c r="P113" s="16"/>
      <c r="Q113" s="16"/>
      <c r="R113" s="16"/>
      <c r="S113" s="16"/>
      <c r="T113" s="16"/>
      <c r="U113" s="16"/>
      <c r="V113" s="16"/>
      <c r="W113" s="16"/>
      <c r="X113" s="16"/>
      <c r="Y113" s="16"/>
      <c r="Z113" s="17"/>
    </row>
    <row r="114" spans="1:26" s="59" customFormat="1" ht="51.75" thickBot="1">
      <c r="A114" s="8"/>
      <c r="B114" s="11" t="str">
        <f>+IFERROR(VLOOKUP(C114,Listas!$L$8:$M$101,2,FALSE),"")</f>
        <v>10040101</v>
      </c>
      <c r="C114" s="335" t="s">
        <v>477</v>
      </c>
      <c r="D114" s="273"/>
      <c r="E114" s="274"/>
      <c r="F114" s="273"/>
      <c r="G114" s="401" t="s">
        <v>1105</v>
      </c>
      <c r="H114" s="9" t="str">
        <f>+IF(I114=""," ",VLOOKUP(I114,Listas!$I$8:$J$10,2,FALSE))</f>
        <v xml:space="preserve"> </v>
      </c>
      <c r="I114" s="335"/>
      <c r="J114" s="369" t="str">
        <f>+IF(K114=""," ",VLOOKUP(K114,PUC!$B:$C,2,FALSE))</f>
        <v xml:space="preserve"> </v>
      </c>
      <c r="K114" s="335"/>
      <c r="L114" s="11" t="str">
        <f>+IF(M114=""," ",VLOOKUP(M114,Listas!$F$9:$G$17,2,FALSE))</f>
        <v xml:space="preserve"> </v>
      </c>
      <c r="M114" s="357"/>
      <c r="N114" s="346"/>
      <c r="O114" s="15"/>
      <c r="P114" s="16"/>
      <c r="Q114" s="16"/>
      <c r="R114" s="16"/>
      <c r="S114" s="16"/>
      <c r="T114" s="16"/>
      <c r="U114" s="16"/>
      <c r="V114" s="16"/>
      <c r="W114" s="16"/>
      <c r="X114" s="16"/>
      <c r="Y114" s="16"/>
      <c r="Z114" s="17"/>
    </row>
    <row r="115" spans="1:26" s="59" customFormat="1" ht="29.25" hidden="1" customHeight="1">
      <c r="A115" s="8"/>
      <c r="B115" s="11" t="str">
        <f>+IFERROR(VLOOKUP(C115,Listas!$L$8:$M$101,2,FALSE),"")</f>
        <v>10040101</v>
      </c>
      <c r="C115" s="335" t="s">
        <v>477</v>
      </c>
      <c r="D115" s="273"/>
      <c r="E115" s="274"/>
      <c r="F115" s="273"/>
      <c r="G115" s="274"/>
      <c r="H115" s="9" t="str">
        <f>+IF(I115=""," ",VLOOKUP(I115,Listas!$I$8:$J$10,2,FALSE))</f>
        <v xml:space="preserve"> </v>
      </c>
      <c r="I115" s="335"/>
      <c r="J115" s="369" t="str">
        <f>+IF(K115=""," ",VLOOKUP(K115,PUC!$B:$C,2,FALSE))</f>
        <v xml:space="preserve"> </v>
      </c>
      <c r="K115" s="335"/>
      <c r="L115" s="11" t="str">
        <f>+IF(M115=""," ",VLOOKUP(M115,Listas!$F$9:$G$17,2,FALSE))</f>
        <v xml:space="preserve"> </v>
      </c>
      <c r="M115" s="357"/>
      <c r="N115" s="346"/>
      <c r="O115" s="15"/>
      <c r="P115" s="16"/>
      <c r="Q115" s="16"/>
      <c r="R115" s="16"/>
      <c r="S115" s="16"/>
      <c r="T115" s="16"/>
      <c r="U115" s="16"/>
      <c r="V115" s="16"/>
      <c r="W115" s="16"/>
      <c r="X115" s="16"/>
      <c r="Y115" s="16"/>
      <c r="Z115" s="17"/>
    </row>
    <row r="116" spans="1:26" s="59" customFormat="1" ht="29.25" hidden="1" customHeight="1">
      <c r="A116" s="8"/>
      <c r="B116" s="11" t="str">
        <f>+IFERROR(VLOOKUP(C116,Listas!$L$8:$M$101,2,FALSE),"")</f>
        <v>10040101</v>
      </c>
      <c r="C116" s="335" t="s">
        <v>477</v>
      </c>
      <c r="D116" s="273"/>
      <c r="E116" s="274"/>
      <c r="F116" s="273"/>
      <c r="G116" s="274"/>
      <c r="H116" s="9" t="str">
        <f>+IF(I116=""," ",VLOOKUP(I116,Listas!$I$8:$J$10,2,FALSE))</f>
        <v xml:space="preserve"> </v>
      </c>
      <c r="I116" s="335"/>
      <c r="J116" s="369" t="str">
        <f>+IF(K116=""," ",VLOOKUP(K116,PUC!$B:$C,2,FALSE))</f>
        <v xml:space="preserve"> </v>
      </c>
      <c r="K116" s="335"/>
      <c r="L116" s="11" t="str">
        <f>+IF(M116=""," ",VLOOKUP(M116,Listas!$F$9:$G$17,2,FALSE))</f>
        <v xml:space="preserve"> </v>
      </c>
      <c r="M116" s="357"/>
      <c r="N116" s="346"/>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35" t="s">
        <v>477</v>
      </c>
      <c r="D117" s="273"/>
      <c r="E117" s="274"/>
      <c r="F117" s="273"/>
      <c r="G117" s="274"/>
      <c r="H117" s="9" t="str">
        <f>+IF(I117=""," ",VLOOKUP(I117,Listas!$I$8:$J$10,2,FALSE))</f>
        <v xml:space="preserve"> </v>
      </c>
      <c r="I117" s="335"/>
      <c r="J117" s="369" t="str">
        <f>+IF(K117=""," ",VLOOKUP(K117,PUC!$B:$C,2,FALSE))</f>
        <v xml:space="preserve"> </v>
      </c>
      <c r="K117" s="335"/>
      <c r="L117" s="11" t="str">
        <f>+IF(M117=""," ",VLOOKUP(M117,Listas!$F$9:$G$17,2,FALSE))</f>
        <v xml:space="preserve"> </v>
      </c>
      <c r="M117" s="357"/>
      <c r="N117" s="346"/>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35" t="s">
        <v>477</v>
      </c>
      <c r="D118" s="273"/>
      <c r="E118" s="274"/>
      <c r="F118" s="273"/>
      <c r="G118" s="274"/>
      <c r="H118" s="9" t="str">
        <f>+IF(I118=""," ",VLOOKUP(I118,Listas!$I$8:$J$10,2,FALSE))</f>
        <v xml:space="preserve"> </v>
      </c>
      <c r="I118" s="335"/>
      <c r="J118" s="369" t="str">
        <f>+IF(K118=""," ",VLOOKUP(K118,PUC!$B:$C,2,FALSE))</f>
        <v xml:space="preserve"> </v>
      </c>
      <c r="K118" s="335"/>
      <c r="L118" s="11" t="str">
        <f>+IF(M118=""," ",VLOOKUP(M118,Listas!$F$9:$G$17,2,FALSE))</f>
        <v xml:space="preserve"> </v>
      </c>
      <c r="M118" s="357"/>
      <c r="N118" s="346"/>
      <c r="O118" s="15"/>
      <c r="P118" s="16"/>
      <c r="Q118" s="16"/>
      <c r="R118" s="16"/>
      <c r="S118" s="16"/>
      <c r="T118" s="16"/>
      <c r="U118" s="16"/>
      <c r="V118" s="16"/>
      <c r="W118" s="16"/>
      <c r="X118" s="16"/>
      <c r="Y118" s="16"/>
      <c r="Z118" s="17"/>
    </row>
    <row r="119" spans="1:26" s="59" customFormat="1" ht="29.25" hidden="1" customHeight="1" thickBot="1">
      <c r="A119" s="8"/>
      <c r="B119" s="22" t="str">
        <f>+IFERROR(VLOOKUP(C119,Listas!$L$8:$M$101,2,FALSE),"")</f>
        <v>10040101</v>
      </c>
      <c r="C119" s="341" t="s">
        <v>477</v>
      </c>
      <c r="D119" s="277"/>
      <c r="E119" s="278"/>
      <c r="F119" s="277"/>
      <c r="G119" s="278"/>
      <c r="H119" s="21" t="str">
        <f>+IF(I119=""," ",VLOOKUP(I119,Listas!$I$8:$J$10,2,FALSE))</f>
        <v xml:space="preserve"> </v>
      </c>
      <c r="I119" s="341"/>
      <c r="J119" s="376" t="str">
        <f>+IF(K119=""," ",VLOOKUP(K119,PUC!$B:$C,2,FALSE))</f>
        <v xml:space="preserve"> </v>
      </c>
      <c r="K119" s="341"/>
      <c r="L119" s="22" t="str">
        <f>+IF(M119=""," ",VLOOKUP(M119,Listas!$F$9:$G$17,2,FALSE))</f>
        <v xml:space="preserve"> </v>
      </c>
      <c r="M119" s="359"/>
      <c r="N119" s="348"/>
      <c r="O119" s="23"/>
      <c r="P119" s="24"/>
      <c r="Q119" s="24"/>
      <c r="R119" s="24"/>
      <c r="S119" s="24"/>
      <c r="T119" s="24"/>
      <c r="U119" s="24"/>
      <c r="V119" s="24"/>
      <c r="W119" s="24"/>
      <c r="X119" s="24"/>
      <c r="Y119" s="24"/>
      <c r="Z119" s="25"/>
    </row>
    <row r="120" spans="1:26" s="59" customFormat="1" ht="25.5">
      <c r="A120" s="8"/>
      <c r="B120" s="20" t="str">
        <f>+IFERROR(VLOOKUP(C120,Listas!$L$8:$M$101,2,FALSE),"")</f>
        <v>10040102</v>
      </c>
      <c r="C120" s="340" t="s">
        <v>478</v>
      </c>
      <c r="D120" s="275"/>
      <c r="E120" s="276"/>
      <c r="F120" s="582" t="s">
        <v>1106</v>
      </c>
      <c r="G120" s="402" t="s">
        <v>1107</v>
      </c>
      <c r="H120" s="18" t="str">
        <f>+IF(I120=""," ",VLOOKUP(I120,Listas!$I$8:$J$10,2,FALSE))</f>
        <v xml:space="preserve"> </v>
      </c>
      <c r="I120" s="340"/>
      <c r="J120" s="375" t="str">
        <f>+IF(K120=""," ",VLOOKUP(K120,PUC!$B:$C,2,FALSE))</f>
        <v xml:space="preserve"> </v>
      </c>
      <c r="K120" s="340"/>
      <c r="L120" s="20" t="str">
        <f>+IF(M120=""," ",VLOOKUP(M120,Listas!$F$9:$G$17,2,FALSE))</f>
        <v xml:space="preserve"> </v>
      </c>
      <c r="M120" s="358"/>
      <c r="N120" s="347"/>
      <c r="O120" s="12"/>
      <c r="P120" s="13"/>
      <c r="Q120" s="13"/>
      <c r="R120" s="13"/>
      <c r="S120" s="13"/>
      <c r="T120" s="13"/>
      <c r="U120" s="13"/>
      <c r="V120" s="13"/>
      <c r="W120" s="13"/>
      <c r="X120" s="13"/>
      <c r="Y120" s="13"/>
      <c r="Z120" s="14"/>
    </row>
    <row r="121" spans="1:26" s="59" customFormat="1" ht="25.5">
      <c r="A121" s="8"/>
      <c r="B121" s="11" t="str">
        <f>+IFERROR(VLOOKUP(C121,Listas!$L$8:$M$101,2,FALSE),"")</f>
        <v>10040102</v>
      </c>
      <c r="C121" s="335" t="s">
        <v>478</v>
      </c>
      <c r="D121" s="273"/>
      <c r="E121" s="274"/>
      <c r="F121" s="583"/>
      <c r="G121" s="401" t="s">
        <v>1108</v>
      </c>
      <c r="H121" s="9" t="str">
        <f>+IF(I121=""," ",VLOOKUP(I121,Listas!$I$8:$J$10,2,FALSE))</f>
        <v xml:space="preserve"> </v>
      </c>
      <c r="I121" s="335"/>
      <c r="J121" s="369" t="str">
        <f>+IF(K121=""," ",VLOOKUP(K121,PUC!$B:$C,2,FALSE))</f>
        <v xml:space="preserve"> </v>
      </c>
      <c r="K121" s="335"/>
      <c r="L121" s="11" t="str">
        <f>+IF(M121=""," ",VLOOKUP(M121,Listas!$F$9:$G$17,2,FALSE))</f>
        <v xml:space="preserve"> </v>
      </c>
      <c r="M121" s="357"/>
      <c r="N121" s="346"/>
      <c r="O121" s="15"/>
      <c r="P121" s="16"/>
      <c r="Q121" s="16"/>
      <c r="R121" s="16"/>
      <c r="S121" s="16"/>
      <c r="T121" s="16"/>
      <c r="U121" s="16"/>
      <c r="V121" s="16"/>
      <c r="W121" s="16"/>
      <c r="X121" s="16"/>
      <c r="Y121" s="16"/>
      <c r="Z121" s="17"/>
    </row>
    <row r="122" spans="1:26" s="59" customFormat="1" ht="25.5">
      <c r="A122" s="8"/>
      <c r="B122" s="11" t="str">
        <f>+IFERROR(VLOOKUP(C122,Listas!$L$8:$M$101,2,FALSE),"")</f>
        <v>10040102</v>
      </c>
      <c r="C122" s="335" t="s">
        <v>478</v>
      </c>
      <c r="D122" s="273"/>
      <c r="E122" s="274"/>
      <c r="F122" s="583"/>
      <c r="G122" s="401" t="s">
        <v>1109</v>
      </c>
      <c r="H122" s="9" t="str">
        <f>+IF(I122=""," ",VLOOKUP(I122,Listas!$I$8:$J$10,2,FALSE))</f>
        <v xml:space="preserve"> </v>
      </c>
      <c r="I122" s="335"/>
      <c r="J122" s="369" t="str">
        <f>+IF(K122=""," ",VLOOKUP(K122,PUC!$B:$C,2,FALSE))</f>
        <v xml:space="preserve"> </v>
      </c>
      <c r="K122" s="335"/>
      <c r="L122" s="11" t="str">
        <f>+IF(M122=""," ",VLOOKUP(M122,Listas!$F$9:$G$17,2,FALSE))</f>
        <v xml:space="preserve"> </v>
      </c>
      <c r="M122" s="357"/>
      <c r="N122" s="346"/>
      <c r="O122" s="15"/>
      <c r="P122" s="16"/>
      <c r="Q122" s="16"/>
      <c r="R122" s="16"/>
      <c r="S122" s="16"/>
      <c r="T122" s="16"/>
      <c r="U122" s="16"/>
      <c r="V122" s="16"/>
      <c r="W122" s="16"/>
      <c r="X122" s="16"/>
      <c r="Y122" s="16"/>
      <c r="Z122" s="17"/>
    </row>
    <row r="123" spans="1:26" s="59" customFormat="1" ht="38.25">
      <c r="A123" s="8"/>
      <c r="B123" s="11" t="str">
        <f>+IFERROR(VLOOKUP(C123,Listas!$L$8:$M$101,2,FALSE),"")</f>
        <v>10040102</v>
      </c>
      <c r="C123" s="335" t="s">
        <v>478</v>
      </c>
      <c r="D123" s="273"/>
      <c r="E123" s="274"/>
      <c r="F123" s="584"/>
      <c r="G123" s="401" t="s">
        <v>1110</v>
      </c>
      <c r="H123" s="9" t="str">
        <f>+IF(I123=""," ",VLOOKUP(I123,Listas!$I$8:$J$10,2,FALSE))</f>
        <v xml:space="preserve"> </v>
      </c>
      <c r="I123" s="335"/>
      <c r="J123" s="369" t="str">
        <f>+IF(K123=""," ",VLOOKUP(K123,PUC!$B:$C,2,FALSE))</f>
        <v xml:space="preserve"> </v>
      </c>
      <c r="K123" s="335"/>
      <c r="L123" s="11" t="str">
        <f>+IF(M123=""," ",VLOOKUP(M123,Listas!$F$9:$G$17,2,FALSE))</f>
        <v xml:space="preserve"> </v>
      </c>
      <c r="M123" s="357"/>
      <c r="N123" s="346"/>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35" t="s">
        <v>478</v>
      </c>
      <c r="D124" s="273"/>
      <c r="E124" s="274"/>
      <c r="F124" s="585" t="s">
        <v>1111</v>
      </c>
      <c r="G124" s="401" t="s">
        <v>1112</v>
      </c>
      <c r="H124" s="9" t="str">
        <f>+IF(I124=""," ",VLOOKUP(I124,Listas!$I$8:$J$10,2,FALSE))</f>
        <v>02</v>
      </c>
      <c r="I124" s="335" t="s">
        <v>464</v>
      </c>
      <c r="J124" s="369">
        <f>+IF(K124=""," ",VLOOKUP(K124,PUC!$B:$C,2,FALSE))</f>
        <v>6208020503</v>
      </c>
      <c r="K124" s="335" t="s">
        <v>805</v>
      </c>
      <c r="L124" s="11" t="str">
        <f>+IF(M124=""," ",VLOOKUP(M124,Listas!$F$9:$G$17,2,FALSE))</f>
        <v>02</v>
      </c>
      <c r="M124" s="357" t="s">
        <v>444</v>
      </c>
      <c r="N124" s="346"/>
      <c r="O124" s="15"/>
      <c r="P124" s="16"/>
      <c r="Q124" s="16"/>
      <c r="R124" s="16"/>
      <c r="S124" s="16"/>
      <c r="T124" s="16"/>
      <c r="U124" s="16"/>
      <c r="V124" s="16"/>
      <c r="W124" s="16"/>
      <c r="X124" s="16"/>
      <c r="Y124" s="16"/>
      <c r="Z124" s="17"/>
    </row>
    <row r="125" spans="1:26" s="59" customFormat="1" ht="25.5">
      <c r="A125" s="8"/>
      <c r="B125" s="11" t="str">
        <f>+IFERROR(VLOOKUP(C125,Listas!$L$8:$M$101,2,FALSE),"")</f>
        <v>10040102</v>
      </c>
      <c r="C125" s="335" t="s">
        <v>478</v>
      </c>
      <c r="D125" s="273"/>
      <c r="E125" s="274"/>
      <c r="F125" s="583"/>
      <c r="G125" s="401" t="s">
        <v>1118</v>
      </c>
      <c r="H125" s="9" t="str">
        <f>+IF(I125=""," ",VLOOKUP(I125,Listas!$I$8:$J$10,2,FALSE))</f>
        <v>02</v>
      </c>
      <c r="I125" s="335" t="s">
        <v>464</v>
      </c>
      <c r="J125" s="369">
        <f>+IF(K125=""," ",VLOOKUP(K125,PUC!$B:$C,2,FALSE))</f>
        <v>6208020501</v>
      </c>
      <c r="K125" s="335" t="s">
        <v>803</v>
      </c>
      <c r="L125" s="11" t="str">
        <f>+IF(M125=""," ",VLOOKUP(M125,Listas!$F$9:$G$17,2,FALSE))</f>
        <v>02</v>
      </c>
      <c r="M125" s="357" t="s">
        <v>444</v>
      </c>
      <c r="N125" s="346"/>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35" t="s">
        <v>478</v>
      </c>
      <c r="D126" s="273"/>
      <c r="E126" s="274"/>
      <c r="F126" s="584"/>
      <c r="G126" s="401" t="s">
        <v>1118</v>
      </c>
      <c r="H126" s="9" t="str">
        <f>+IF(I126=""," ",VLOOKUP(I126,Listas!$I$8:$J$10,2,FALSE))</f>
        <v>02</v>
      </c>
      <c r="I126" s="335" t="s">
        <v>464</v>
      </c>
      <c r="J126" s="369">
        <f>+IF(K126=""," ",VLOOKUP(K126,PUC!$B:$C,2,FALSE))</f>
        <v>6208020505</v>
      </c>
      <c r="K126" s="335" t="s">
        <v>804</v>
      </c>
      <c r="L126" s="11" t="str">
        <f>+IF(M126=""," ",VLOOKUP(M126,Listas!$F$9:$G$17,2,FALSE))</f>
        <v>02</v>
      </c>
      <c r="M126" s="357" t="s">
        <v>444</v>
      </c>
      <c r="N126" s="346"/>
      <c r="O126" s="15"/>
      <c r="P126" s="16"/>
      <c r="Q126" s="16"/>
      <c r="R126" s="16"/>
      <c r="S126" s="16"/>
      <c r="T126" s="16"/>
      <c r="U126" s="16"/>
      <c r="V126" s="16"/>
      <c r="W126" s="16"/>
      <c r="X126" s="16"/>
      <c r="Y126" s="16"/>
      <c r="Z126" s="17"/>
    </row>
    <row r="127" spans="1:26" s="59" customFormat="1" ht="38.25">
      <c r="A127" s="8"/>
      <c r="B127" s="11" t="str">
        <f>+IFERROR(VLOOKUP(C127,Listas!$L$8:$M$101,2,FALSE),"")</f>
        <v>10040102</v>
      </c>
      <c r="C127" s="335" t="s">
        <v>478</v>
      </c>
      <c r="D127" s="273"/>
      <c r="E127" s="274"/>
      <c r="F127" s="370" t="s">
        <v>1113</v>
      </c>
      <c r="G127" s="401" t="s">
        <v>1114</v>
      </c>
      <c r="H127" s="9" t="str">
        <f>+IF(I127=""," ",VLOOKUP(I127,Listas!$I$8:$J$10,2,FALSE))</f>
        <v xml:space="preserve"> </v>
      </c>
      <c r="I127" s="335"/>
      <c r="J127" s="369" t="str">
        <f>+IF(K127=""," ",VLOOKUP(K127,PUC!$B:$C,2,FALSE))</f>
        <v xml:space="preserve"> </v>
      </c>
      <c r="K127" s="335"/>
      <c r="L127" s="11" t="str">
        <f>+IF(M127=""," ",VLOOKUP(M127,Listas!$F$9:$G$17,2,FALSE))</f>
        <v xml:space="preserve"> </v>
      </c>
      <c r="M127" s="357"/>
      <c r="N127" s="346"/>
      <c r="O127" s="15"/>
      <c r="P127" s="16"/>
      <c r="Q127" s="16"/>
      <c r="R127" s="16"/>
      <c r="S127" s="16"/>
      <c r="T127" s="16"/>
      <c r="U127" s="16"/>
      <c r="V127" s="16"/>
      <c r="W127" s="16"/>
      <c r="X127" s="16"/>
      <c r="Y127" s="16"/>
      <c r="Z127" s="17"/>
    </row>
    <row r="128" spans="1:26" s="59" customFormat="1" ht="39" customHeight="1">
      <c r="A128" s="8"/>
      <c r="B128" s="11" t="str">
        <f>+IFERROR(VLOOKUP(C128,Listas!$L$8:$M$101,2,FALSE),"")</f>
        <v>10040102</v>
      </c>
      <c r="C128" s="335" t="s">
        <v>478</v>
      </c>
      <c r="D128" s="273"/>
      <c r="E128" s="274"/>
      <c r="F128" s="585" t="s">
        <v>1115</v>
      </c>
      <c r="G128" s="401" t="s">
        <v>1116</v>
      </c>
      <c r="H128" s="9" t="str">
        <f>+IF(I128=""," ",VLOOKUP(I128,Listas!$I$8:$J$10,2,FALSE))</f>
        <v xml:space="preserve"> </v>
      </c>
      <c r="I128" s="335"/>
      <c r="J128" s="369" t="str">
        <f>+IF(K128=""," ",VLOOKUP(K128,PUC!$B:$C,2,FALSE))</f>
        <v xml:space="preserve"> </v>
      </c>
      <c r="K128" s="335"/>
      <c r="L128" s="11" t="str">
        <f>+IF(M128=""," ",VLOOKUP(M128,Listas!$F$9:$G$17,2,FALSE))</f>
        <v xml:space="preserve"> </v>
      </c>
      <c r="M128" s="357"/>
      <c r="N128" s="346"/>
      <c r="O128" s="15"/>
      <c r="P128" s="16"/>
      <c r="Q128" s="16"/>
      <c r="R128" s="16"/>
      <c r="S128" s="16"/>
      <c r="T128" s="16"/>
      <c r="U128" s="16"/>
      <c r="V128" s="16"/>
      <c r="W128" s="16"/>
      <c r="X128" s="16"/>
      <c r="Y128" s="16"/>
      <c r="Z128" s="17"/>
    </row>
    <row r="129" spans="1:26" s="59" customFormat="1" ht="33.75" customHeight="1" thickBot="1">
      <c r="A129" s="8"/>
      <c r="B129" s="11" t="str">
        <f>+IFERROR(VLOOKUP(C129,Listas!$L$8:$M$101,2,FALSE),"")</f>
        <v>10040102</v>
      </c>
      <c r="C129" s="335" t="s">
        <v>478</v>
      </c>
      <c r="D129" s="273"/>
      <c r="E129" s="274"/>
      <c r="F129" s="584"/>
      <c r="G129" s="401" t="s">
        <v>1117</v>
      </c>
      <c r="H129" s="9" t="str">
        <f>+IF(I129=""," ",VLOOKUP(I129,Listas!$I$8:$J$10,2,FALSE))</f>
        <v xml:space="preserve"> </v>
      </c>
      <c r="I129" s="335"/>
      <c r="J129" s="369" t="str">
        <f>+IF(K129=""," ",VLOOKUP(K129,PUC!$B:$C,2,FALSE))</f>
        <v xml:space="preserve"> </v>
      </c>
      <c r="K129" s="335"/>
      <c r="L129" s="11" t="str">
        <f>+IF(M129=""," ",VLOOKUP(M129,Listas!$F$9:$G$17,2,FALSE))</f>
        <v xml:space="preserve"> </v>
      </c>
      <c r="M129" s="357"/>
      <c r="N129" s="346"/>
      <c r="O129" s="15"/>
      <c r="P129" s="16"/>
      <c r="Q129" s="16"/>
      <c r="R129" s="16"/>
      <c r="S129" s="16"/>
      <c r="T129" s="16"/>
      <c r="U129" s="16"/>
      <c r="V129" s="16"/>
      <c r="W129" s="16"/>
      <c r="X129" s="16"/>
      <c r="Y129" s="16"/>
      <c r="Z129" s="17"/>
    </row>
    <row r="130" spans="1:26" s="59" customFormat="1" ht="29.25" hidden="1" customHeight="1">
      <c r="A130" s="8"/>
      <c r="B130" s="11" t="str">
        <f>+IFERROR(VLOOKUP(C130,Listas!$L$8:$M$101,2,FALSE),"")</f>
        <v>10040102</v>
      </c>
      <c r="C130" s="335" t="s">
        <v>478</v>
      </c>
      <c r="D130" s="273"/>
      <c r="E130" s="274"/>
      <c r="F130" s="301"/>
      <c r="G130" s="371"/>
      <c r="H130" s="9" t="str">
        <f>+IF(I130=""," ",VLOOKUP(I130,Listas!$I$8:$J$10,2,FALSE))</f>
        <v xml:space="preserve"> </v>
      </c>
      <c r="I130" s="335"/>
      <c r="J130" s="369" t="str">
        <f>+IF(K130=""," ",VLOOKUP(K130,PUC!$B:$C,2,FALSE))</f>
        <v xml:space="preserve"> </v>
      </c>
      <c r="K130" s="335"/>
      <c r="L130" s="11" t="str">
        <f>+IF(M130=""," ",VLOOKUP(M130,Listas!$F$9:$G$17,2,FALSE))</f>
        <v xml:space="preserve"> </v>
      </c>
      <c r="M130" s="357"/>
      <c r="N130" s="346"/>
      <c r="O130" s="15"/>
      <c r="P130" s="16"/>
      <c r="Q130" s="16"/>
      <c r="R130" s="16"/>
      <c r="S130" s="16"/>
      <c r="T130" s="16"/>
      <c r="U130" s="16"/>
      <c r="V130" s="16"/>
      <c r="W130" s="16"/>
      <c r="X130" s="16"/>
      <c r="Y130" s="16"/>
      <c r="Z130" s="17"/>
    </row>
    <row r="131" spans="1:26" s="59" customFormat="1" ht="29.25" hidden="1" customHeight="1">
      <c r="A131" s="8"/>
      <c r="B131" s="11" t="str">
        <f>+IFERROR(VLOOKUP(C131,Listas!$L$8:$M$101,2,FALSE),"")</f>
        <v>10040102</v>
      </c>
      <c r="C131" s="335" t="s">
        <v>478</v>
      </c>
      <c r="D131" s="273"/>
      <c r="E131" s="274"/>
      <c r="F131" s="301"/>
      <c r="G131" s="371"/>
      <c r="H131" s="9" t="str">
        <f>+IF(I131=""," ",VLOOKUP(I131,Listas!$I$8:$J$10,2,FALSE))</f>
        <v xml:space="preserve"> </v>
      </c>
      <c r="I131" s="335"/>
      <c r="J131" s="369" t="str">
        <f>+IF(K131=""," ",VLOOKUP(K131,PUC!$B:$C,2,FALSE))</f>
        <v xml:space="preserve"> </v>
      </c>
      <c r="K131" s="335"/>
      <c r="L131" s="11" t="str">
        <f>+IF(M131=""," ",VLOOKUP(M131,Listas!$F$9:$G$17,2,FALSE))</f>
        <v xml:space="preserve"> </v>
      </c>
      <c r="M131" s="357"/>
      <c r="N131" s="346"/>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35" t="s">
        <v>478</v>
      </c>
      <c r="D132" s="273"/>
      <c r="E132" s="274"/>
      <c r="F132" s="273"/>
      <c r="G132" s="274"/>
      <c r="H132" s="9" t="str">
        <f>+IF(I132=""," ",VLOOKUP(I132,Listas!$I$8:$J$10,2,FALSE))</f>
        <v xml:space="preserve"> </v>
      </c>
      <c r="I132" s="335"/>
      <c r="J132" s="369" t="str">
        <f>+IF(K132=""," ",VLOOKUP(K132,PUC!$B:$C,2,FALSE))</f>
        <v xml:space="preserve"> </v>
      </c>
      <c r="K132" s="335"/>
      <c r="L132" s="11" t="str">
        <f>+IF(M132=""," ",VLOOKUP(M132,Listas!$F$9:$G$17,2,FALSE))</f>
        <v xml:space="preserve"> </v>
      </c>
      <c r="M132" s="357"/>
      <c r="N132" s="346"/>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35" t="s">
        <v>478</v>
      </c>
      <c r="D133" s="273"/>
      <c r="E133" s="274"/>
      <c r="F133" s="273"/>
      <c r="G133" s="274"/>
      <c r="H133" s="9" t="str">
        <f>+IF(I133=""," ",VLOOKUP(I133,Listas!$I$8:$J$10,2,FALSE))</f>
        <v xml:space="preserve"> </v>
      </c>
      <c r="I133" s="335"/>
      <c r="J133" s="369" t="str">
        <f>+IF(K133=""," ",VLOOKUP(K133,PUC!$B:$C,2,FALSE))</f>
        <v xml:space="preserve"> </v>
      </c>
      <c r="K133" s="335"/>
      <c r="L133" s="11" t="str">
        <f>+IF(M133=""," ",VLOOKUP(M133,Listas!$F$9:$G$17,2,FALSE))</f>
        <v xml:space="preserve"> </v>
      </c>
      <c r="M133" s="357"/>
      <c r="N133" s="346"/>
      <c r="O133" s="15"/>
      <c r="P133" s="16"/>
      <c r="Q133" s="16"/>
      <c r="R133" s="16"/>
      <c r="S133" s="16"/>
      <c r="T133" s="16"/>
      <c r="U133" s="16"/>
      <c r="V133" s="16"/>
      <c r="W133" s="16"/>
      <c r="X133" s="16"/>
      <c r="Y133" s="16"/>
      <c r="Z133" s="17"/>
    </row>
    <row r="134" spans="1:26" s="59" customFormat="1" ht="29.25" hidden="1" customHeight="1" thickBot="1">
      <c r="A134" s="8"/>
      <c r="B134" s="22" t="str">
        <f>+IFERROR(VLOOKUP(C134,Listas!$L$8:$M$101,2,FALSE),"")</f>
        <v>10040102</v>
      </c>
      <c r="C134" s="341" t="s">
        <v>478</v>
      </c>
      <c r="D134" s="277"/>
      <c r="E134" s="278"/>
      <c r="F134" s="277"/>
      <c r="G134" s="278"/>
      <c r="H134" s="21" t="str">
        <f>+IF(I134=""," ",VLOOKUP(I134,Listas!$I$8:$J$10,2,FALSE))</f>
        <v xml:space="preserve"> </v>
      </c>
      <c r="I134" s="341"/>
      <c r="J134" s="376" t="str">
        <f>+IF(K134=""," ",VLOOKUP(K134,PUC!$B:$C,2,FALSE))</f>
        <v xml:space="preserve"> </v>
      </c>
      <c r="K134" s="341"/>
      <c r="L134" s="22" t="str">
        <f>+IF(M134=""," ",VLOOKUP(M134,Listas!$F$9:$G$17,2,FALSE))</f>
        <v xml:space="preserve"> </v>
      </c>
      <c r="M134" s="359"/>
      <c r="N134" s="348"/>
      <c r="O134" s="23"/>
      <c r="P134" s="24"/>
      <c r="Q134" s="24"/>
      <c r="R134" s="24"/>
      <c r="S134" s="24"/>
      <c r="T134" s="24"/>
      <c r="U134" s="24"/>
      <c r="V134" s="24"/>
      <c r="W134" s="24"/>
      <c r="X134" s="24"/>
      <c r="Y134" s="24"/>
      <c r="Z134" s="25"/>
    </row>
    <row r="135" spans="1:26" s="59" customFormat="1" ht="51">
      <c r="A135" s="8"/>
      <c r="B135" s="20" t="str">
        <f>+IFERROR(VLOOKUP(C135,Listas!$L$8:$M$101,2,FALSE),"")</f>
        <v>10040104</v>
      </c>
      <c r="C135" s="340" t="s">
        <v>481</v>
      </c>
      <c r="D135" s="275"/>
      <c r="E135" s="276"/>
      <c r="F135" s="582" t="s">
        <v>1119</v>
      </c>
      <c r="G135" s="402" t="s">
        <v>1355</v>
      </c>
      <c r="H135" s="18" t="str">
        <f>+IF(I135=""," ",VLOOKUP(I135,Listas!$I$8:$J$10,2,FALSE))</f>
        <v>04</v>
      </c>
      <c r="I135" s="340" t="s">
        <v>466</v>
      </c>
      <c r="J135" s="375">
        <f>+IF(K135=""," ",VLOOKUP(K135,PUC!$B:$C,2,FALSE))</f>
        <v>6208021701</v>
      </c>
      <c r="K135" s="340" t="s">
        <v>983</v>
      </c>
      <c r="L135" s="20" t="str">
        <f>+IF(M135=""," ",VLOOKUP(M135,Listas!$F$9:$G$17,2,FALSE))</f>
        <v>02</v>
      </c>
      <c r="M135" s="358" t="s">
        <v>444</v>
      </c>
      <c r="N135" s="347">
        <f>4500*3500</f>
        <v>15750000</v>
      </c>
      <c r="O135" s="12"/>
      <c r="P135" s="13"/>
      <c r="Q135" s="13"/>
      <c r="R135" s="13"/>
      <c r="S135" s="13"/>
      <c r="T135" s="13"/>
      <c r="U135" s="13"/>
      <c r="V135" s="13"/>
      <c r="W135" s="13"/>
      <c r="X135" s="13"/>
      <c r="Y135" s="13"/>
      <c r="Z135" s="14"/>
    </row>
    <row r="136" spans="1:26" s="59" customFormat="1" ht="51">
      <c r="A136" s="8"/>
      <c r="B136" s="11" t="str">
        <f>+IFERROR(VLOOKUP(C136,Listas!$L$8:$M$101,2,FALSE),"")</f>
        <v>10040104</v>
      </c>
      <c r="C136" s="335" t="s">
        <v>481</v>
      </c>
      <c r="D136" s="273"/>
      <c r="E136" s="274"/>
      <c r="F136" s="583"/>
      <c r="G136" s="401" t="s">
        <v>1356</v>
      </c>
      <c r="H136" s="9" t="str">
        <f>+IF(I136=""," ",VLOOKUP(I136,Listas!$I$8:$J$10,2,FALSE))</f>
        <v>04</v>
      </c>
      <c r="I136" s="335" t="s">
        <v>466</v>
      </c>
      <c r="J136" s="369">
        <f>+IF(K136=""," ",VLOOKUP(K136,PUC!$B:$C,2,FALSE))</f>
        <v>6208021701</v>
      </c>
      <c r="K136" s="335" t="s">
        <v>983</v>
      </c>
      <c r="L136" s="11" t="str">
        <f>+IF(M136=""," ",VLOOKUP(M136,Listas!$F$9:$G$17,2,FALSE))</f>
        <v>02</v>
      </c>
      <c r="M136" s="357" t="s">
        <v>444</v>
      </c>
      <c r="N136" s="346">
        <f>5900000+(MROUND(55*30*3500,1000))</f>
        <v>11675000</v>
      </c>
      <c r="O136" s="15"/>
      <c r="P136" s="16"/>
      <c r="Q136" s="16"/>
      <c r="R136" s="16"/>
      <c r="S136" s="16"/>
      <c r="T136" s="16"/>
      <c r="U136" s="16"/>
      <c r="V136" s="16"/>
      <c r="W136" s="16"/>
      <c r="X136" s="16"/>
      <c r="Y136" s="16"/>
      <c r="Z136" s="17"/>
    </row>
    <row r="137" spans="1:26" s="59" customFormat="1" ht="51">
      <c r="A137" s="8"/>
      <c r="B137" s="11" t="str">
        <f>+IFERROR(VLOOKUP(C137,Listas!$L$8:$M$101,2,FALSE),"")</f>
        <v>10040104</v>
      </c>
      <c r="C137" s="335" t="s">
        <v>481</v>
      </c>
      <c r="D137" s="273"/>
      <c r="E137" s="274"/>
      <c r="F137" s="583"/>
      <c r="G137" s="401" t="s">
        <v>1126</v>
      </c>
      <c r="H137" s="9" t="str">
        <f>+IF(I137=""," ",VLOOKUP(I137,Listas!$I$8:$J$10,2,FALSE))</f>
        <v>04</v>
      </c>
      <c r="I137" s="335" t="s">
        <v>466</v>
      </c>
      <c r="J137" s="369">
        <f>+IF(K137=""," ",VLOOKUP(K137,PUC!$B:$C,2,FALSE))</f>
        <v>6208021104</v>
      </c>
      <c r="K137" s="335" t="s">
        <v>987</v>
      </c>
      <c r="L137" s="11" t="str">
        <f>+IF(M137=""," ",VLOOKUP(M137,Listas!$F$9:$G$17,2,FALSE))</f>
        <v>02</v>
      </c>
      <c r="M137" s="357" t="s">
        <v>444</v>
      </c>
      <c r="N137" s="346">
        <v>1000000</v>
      </c>
      <c r="O137" s="15"/>
      <c r="P137" s="16"/>
      <c r="Q137" s="16"/>
      <c r="R137" s="16"/>
      <c r="S137" s="16"/>
      <c r="T137" s="16"/>
      <c r="U137" s="16"/>
      <c r="V137" s="16"/>
      <c r="W137" s="16"/>
      <c r="X137" s="16"/>
      <c r="Y137" s="16"/>
      <c r="Z137" s="17"/>
    </row>
    <row r="138" spans="1:26" s="59" customFormat="1" ht="51">
      <c r="A138" s="8"/>
      <c r="B138" s="11" t="str">
        <f>+IFERROR(VLOOKUP(C138,Listas!$L$8:$M$101,2,FALSE),"")</f>
        <v>10040104</v>
      </c>
      <c r="C138" s="335" t="s">
        <v>481</v>
      </c>
      <c r="D138" s="273"/>
      <c r="E138" s="274"/>
      <c r="F138" s="583"/>
      <c r="G138" s="403" t="s">
        <v>1127</v>
      </c>
      <c r="H138" s="392" t="str">
        <f>+IF(I138=""," ",VLOOKUP(I138,Listas!$I$8:$J$10,2,FALSE))</f>
        <v>04</v>
      </c>
      <c r="I138" s="394" t="s">
        <v>466</v>
      </c>
      <c r="J138" s="393">
        <f>+IF(K138=""," ",VLOOKUP(K138,PUC!$B:$C,2,FALSE))</f>
        <v>6208021104</v>
      </c>
      <c r="K138" s="394" t="s">
        <v>987</v>
      </c>
      <c r="L138" s="395" t="str">
        <f>+IF(M138=""," ",VLOOKUP(M138,Listas!$F$9:$G$17,2,FALSE))</f>
        <v>02</v>
      </c>
      <c r="M138" s="396" t="s">
        <v>444</v>
      </c>
      <c r="N138" s="397">
        <v>5400000</v>
      </c>
      <c r="O138" s="15" t="s">
        <v>1344</v>
      </c>
      <c r="P138" s="16"/>
      <c r="Q138" s="16"/>
      <c r="R138" s="16"/>
      <c r="S138" s="16"/>
      <c r="T138" s="16"/>
      <c r="U138" s="16"/>
      <c r="V138" s="16"/>
      <c r="W138" s="16"/>
      <c r="X138" s="16"/>
      <c r="Y138" s="16"/>
      <c r="Z138" s="17"/>
    </row>
    <row r="139" spans="1:26" s="59" customFormat="1" ht="51">
      <c r="A139" s="8"/>
      <c r="B139" s="11" t="str">
        <f>+IFERROR(VLOOKUP(C139,Listas!$L$8:$M$101,2,FALSE),"")</f>
        <v>10040104</v>
      </c>
      <c r="C139" s="335" t="s">
        <v>481</v>
      </c>
      <c r="D139" s="273"/>
      <c r="E139" s="274"/>
      <c r="F139" s="583"/>
      <c r="G139" s="403" t="s">
        <v>1128</v>
      </c>
      <c r="H139" s="392" t="str">
        <f>+IF(I139=""," ",VLOOKUP(I139,Listas!$I$8:$J$10,2,FALSE))</f>
        <v>04</v>
      </c>
      <c r="I139" s="394" t="s">
        <v>466</v>
      </c>
      <c r="J139" s="393">
        <f>+IF(K139=""," ",VLOOKUP(K139,PUC!$B:$C,2,FALSE))</f>
        <v>6208021101</v>
      </c>
      <c r="K139" s="394" t="s">
        <v>986</v>
      </c>
      <c r="L139" s="395" t="str">
        <f>+IF(M139=""," ",VLOOKUP(M139,Listas!$F$9:$G$17,2,FALSE))</f>
        <v>02</v>
      </c>
      <c r="M139" s="396" t="s">
        <v>444</v>
      </c>
      <c r="N139" s="397">
        <v>756000</v>
      </c>
      <c r="O139" s="15" t="s">
        <v>1345</v>
      </c>
      <c r="P139" s="16"/>
      <c r="Q139" s="16"/>
      <c r="R139" s="16"/>
      <c r="S139" s="16"/>
      <c r="T139" s="16"/>
      <c r="U139" s="16"/>
      <c r="V139" s="16"/>
      <c r="W139" s="16"/>
      <c r="X139" s="16"/>
      <c r="Y139" s="16"/>
      <c r="Z139" s="17"/>
    </row>
    <row r="140" spans="1:26" s="59" customFormat="1" ht="51" hidden="1">
      <c r="A140" s="8"/>
      <c r="B140" s="11" t="str">
        <f>+IFERROR(VLOOKUP(C140,Listas!$L$8:$M$101,2,FALSE),"")</f>
        <v>10040104</v>
      </c>
      <c r="C140" s="335" t="s">
        <v>481</v>
      </c>
      <c r="D140" s="273"/>
      <c r="E140" s="274"/>
      <c r="F140" s="583"/>
      <c r="G140" s="401"/>
      <c r="H140" s="9" t="str">
        <f>+IF(I140=""," ",VLOOKUP(I140,Listas!$I$8:$J$10,2,FALSE))</f>
        <v xml:space="preserve"> </v>
      </c>
      <c r="I140" s="335"/>
      <c r="J140" s="369" t="str">
        <f>+IF(K140=""," ",VLOOKUP(K140,PUC!$B:$C,2,FALSE))</f>
        <v xml:space="preserve"> </v>
      </c>
      <c r="K140" s="335"/>
      <c r="L140" s="11" t="str">
        <f>+IF(M140=""," ",VLOOKUP(M140,Listas!$F$9:$G$17,2,FALSE))</f>
        <v xml:space="preserve"> </v>
      </c>
      <c r="M140" s="357"/>
      <c r="N140" s="346"/>
      <c r="O140" s="15"/>
      <c r="P140" s="16"/>
      <c r="Q140" s="16"/>
      <c r="R140" s="16"/>
      <c r="S140" s="16"/>
      <c r="T140" s="16"/>
      <c r="U140" s="16"/>
      <c r="V140" s="16"/>
      <c r="W140" s="16"/>
      <c r="X140" s="16"/>
      <c r="Y140" s="16"/>
      <c r="Z140" s="17"/>
    </row>
    <row r="141" spans="1:26" s="59" customFormat="1" ht="51" hidden="1">
      <c r="A141" s="8"/>
      <c r="B141" s="11" t="str">
        <f>+IFERROR(VLOOKUP(C141,Listas!$L$8:$M$101,2,FALSE),"")</f>
        <v>10040104</v>
      </c>
      <c r="C141" s="335" t="s">
        <v>481</v>
      </c>
      <c r="D141" s="273"/>
      <c r="E141" s="274"/>
      <c r="F141" s="584"/>
      <c r="G141" s="401"/>
      <c r="H141" s="9" t="str">
        <f>+IF(I141=""," ",VLOOKUP(I141,Listas!$I$8:$J$10,2,FALSE))</f>
        <v xml:space="preserve"> </v>
      </c>
      <c r="I141" s="335"/>
      <c r="J141" s="369" t="str">
        <f>+IF(K141=""," ",VLOOKUP(K141,PUC!$B:$C,2,FALSE))</f>
        <v xml:space="preserve"> </v>
      </c>
      <c r="K141" s="335"/>
      <c r="L141" s="11" t="str">
        <f>+IF(M141=""," ",VLOOKUP(M141,Listas!$F$9:$G$17,2,FALSE))</f>
        <v xml:space="preserve"> </v>
      </c>
      <c r="M141" s="357"/>
      <c r="N141" s="346"/>
      <c r="O141" s="15"/>
      <c r="P141" s="16"/>
      <c r="Q141" s="16"/>
      <c r="R141" s="16"/>
      <c r="S141" s="16"/>
      <c r="T141" s="16"/>
      <c r="U141" s="16"/>
      <c r="V141" s="16"/>
      <c r="W141" s="16"/>
      <c r="X141" s="16"/>
      <c r="Y141" s="16"/>
      <c r="Z141" s="17"/>
    </row>
    <row r="142" spans="1:26" s="59" customFormat="1" ht="51">
      <c r="A142" s="8"/>
      <c r="B142" s="11" t="str">
        <f>+IFERROR(VLOOKUP(C142,Listas!$L$8:$M$101,2,FALSE),"")</f>
        <v>10040104</v>
      </c>
      <c r="C142" s="335" t="s">
        <v>481</v>
      </c>
      <c r="D142" s="273"/>
      <c r="E142" s="274"/>
      <c r="F142" s="585" t="s">
        <v>1120</v>
      </c>
      <c r="G142" s="401" t="s">
        <v>1121</v>
      </c>
      <c r="H142" s="9" t="str">
        <f>+IF(I142=""," ",VLOOKUP(I142,Listas!$I$8:$J$10,2,FALSE))</f>
        <v xml:space="preserve"> </v>
      </c>
      <c r="I142" s="335"/>
      <c r="J142" s="369" t="str">
        <f>+IF(K142=""," ",VLOOKUP(K142,PUC!$B:$C,2,FALSE))</f>
        <v xml:space="preserve"> </v>
      </c>
      <c r="K142" s="335"/>
      <c r="L142" s="11" t="str">
        <f>+IF(M142=""," ",VLOOKUP(M142,Listas!$F$9:$G$17,2,FALSE))</f>
        <v xml:space="preserve"> </v>
      </c>
      <c r="M142" s="357"/>
      <c r="N142" s="346"/>
      <c r="O142" s="15"/>
      <c r="P142" s="16"/>
      <c r="Q142" s="16"/>
      <c r="R142" s="16"/>
      <c r="S142" s="16"/>
      <c r="T142" s="16"/>
      <c r="U142" s="16"/>
      <c r="V142" s="16"/>
      <c r="W142" s="16"/>
      <c r="X142" s="16"/>
      <c r="Y142" s="16"/>
      <c r="Z142" s="17"/>
    </row>
    <row r="143" spans="1:26" s="59" customFormat="1" ht="51">
      <c r="A143" s="8"/>
      <c r="B143" s="11" t="str">
        <f>+IFERROR(VLOOKUP(C143,Listas!$L$8:$M$101,2,FALSE),"")</f>
        <v>10040104</v>
      </c>
      <c r="C143" s="335" t="s">
        <v>481</v>
      </c>
      <c r="D143" s="273"/>
      <c r="E143" s="274"/>
      <c r="F143" s="583"/>
      <c r="G143" s="401" t="s">
        <v>1122</v>
      </c>
      <c r="H143" s="9" t="str">
        <f>+IF(I143=""," ",VLOOKUP(I143,Listas!$I$8:$J$10,2,FALSE))</f>
        <v xml:space="preserve"> </v>
      </c>
      <c r="I143" s="335"/>
      <c r="J143" s="369" t="str">
        <f>+IF(K143=""," ",VLOOKUP(K143,PUC!$B:$C,2,FALSE))</f>
        <v xml:space="preserve"> </v>
      </c>
      <c r="K143" s="335"/>
      <c r="L143" s="11" t="str">
        <f>+IF(M143=""," ",VLOOKUP(M143,Listas!$F$9:$G$17,2,FALSE))</f>
        <v xml:space="preserve"> </v>
      </c>
      <c r="M143" s="357"/>
      <c r="N143" s="346"/>
      <c r="O143" s="15"/>
      <c r="P143" s="16"/>
      <c r="Q143" s="16"/>
      <c r="R143" s="16"/>
      <c r="S143" s="16"/>
      <c r="T143" s="16"/>
      <c r="U143" s="16"/>
      <c r="V143" s="16"/>
      <c r="W143" s="16"/>
      <c r="X143" s="16"/>
      <c r="Y143" s="16"/>
      <c r="Z143" s="17"/>
    </row>
    <row r="144" spans="1:26" s="59" customFormat="1" ht="51">
      <c r="A144" s="8"/>
      <c r="B144" s="11" t="str">
        <f>+IFERROR(VLOOKUP(C144,Listas!$L$8:$M$101,2,FALSE),"")</f>
        <v>10040104</v>
      </c>
      <c r="C144" s="335" t="s">
        <v>481</v>
      </c>
      <c r="D144" s="273"/>
      <c r="E144" s="274"/>
      <c r="F144" s="583"/>
      <c r="G144" s="401" t="s">
        <v>1129</v>
      </c>
      <c r="H144" s="9" t="str">
        <f>+IF(I144=""," ",VLOOKUP(I144,Listas!$I$8:$J$10,2,FALSE))</f>
        <v>04</v>
      </c>
      <c r="I144" s="335" t="s">
        <v>466</v>
      </c>
      <c r="J144" s="369">
        <f>+IF(K144=""," ",VLOOKUP(K144,PUC!$B:$C,2,FALSE))</f>
        <v>6208021102</v>
      </c>
      <c r="K144" s="335" t="s">
        <v>979</v>
      </c>
      <c r="L144" s="11" t="str">
        <f>+IF(M144=""," ",VLOOKUP(M144,Listas!$F$9:$G$17,2,FALSE))</f>
        <v>02</v>
      </c>
      <c r="M144" s="357" t="s">
        <v>444</v>
      </c>
      <c r="N144" s="346">
        <v>1000000</v>
      </c>
      <c r="O144" s="15"/>
      <c r="P144" s="16"/>
      <c r="Q144" s="16"/>
      <c r="R144" s="16"/>
      <c r="S144" s="16"/>
      <c r="T144" s="16"/>
      <c r="U144" s="16"/>
      <c r="V144" s="16"/>
      <c r="W144" s="16"/>
      <c r="X144" s="16"/>
      <c r="Y144" s="16"/>
      <c r="Z144" s="17"/>
    </row>
    <row r="145" spans="1:27" s="59" customFormat="1" ht="51">
      <c r="A145" s="8"/>
      <c r="B145" s="11" t="str">
        <f>+IFERROR(VLOOKUP(C145,Listas!$L$8:$M$101,2,FALSE),"")</f>
        <v>10040104</v>
      </c>
      <c r="C145" s="335" t="s">
        <v>481</v>
      </c>
      <c r="D145" s="273"/>
      <c r="E145" s="274"/>
      <c r="F145" s="583"/>
      <c r="G145" s="401" t="s">
        <v>1125</v>
      </c>
      <c r="H145" s="9" t="str">
        <f>+IF(I145=""," ",VLOOKUP(I145,Listas!$I$8:$J$10,2,FALSE))</f>
        <v xml:space="preserve"> </v>
      </c>
      <c r="I145" s="335"/>
      <c r="J145" s="369" t="str">
        <f>+IF(K145=""," ",VLOOKUP(K145,PUC!$B:$C,2,FALSE))</f>
        <v xml:space="preserve"> </v>
      </c>
      <c r="K145" s="335"/>
      <c r="L145" s="11" t="str">
        <f>+IF(M145=""," ",VLOOKUP(M145,Listas!$F$9:$G$17,2,FALSE))</f>
        <v xml:space="preserve"> </v>
      </c>
      <c r="M145" s="357"/>
      <c r="N145" s="346"/>
      <c r="O145" s="15"/>
      <c r="P145" s="16"/>
      <c r="Q145" s="16"/>
      <c r="R145" s="16"/>
      <c r="S145" s="16"/>
      <c r="T145" s="16"/>
      <c r="U145" s="16"/>
      <c r="V145" s="16"/>
      <c r="W145" s="16"/>
      <c r="X145" s="16"/>
      <c r="Y145" s="16"/>
      <c r="Z145" s="17"/>
    </row>
    <row r="146" spans="1:27" s="59" customFormat="1" ht="51">
      <c r="A146" s="8"/>
      <c r="B146" s="11" t="str">
        <f>+IFERROR(VLOOKUP(C146,Listas!$L$8:$M$101,2,FALSE),"")</f>
        <v>10040104</v>
      </c>
      <c r="C146" s="335" t="s">
        <v>481</v>
      </c>
      <c r="D146" s="273"/>
      <c r="E146" s="274"/>
      <c r="F146" s="583"/>
      <c r="G146" s="401" t="s">
        <v>1130</v>
      </c>
      <c r="H146" s="9" t="str">
        <f>+IF(I146=""," ",VLOOKUP(I146,Listas!$I$8:$J$10,2,FALSE))</f>
        <v xml:space="preserve"> </v>
      </c>
      <c r="I146" s="335"/>
      <c r="J146" s="369" t="str">
        <f>+IF(K146=""," ",VLOOKUP(K146,PUC!$B:$C,2,FALSE))</f>
        <v xml:space="preserve"> </v>
      </c>
      <c r="K146" s="335"/>
      <c r="L146" s="11" t="str">
        <f>+IF(M146=""," ",VLOOKUP(M146,Listas!$F$9:$G$17,2,FALSE))</f>
        <v xml:space="preserve"> </v>
      </c>
      <c r="M146" s="357"/>
      <c r="N146" s="346"/>
      <c r="O146" s="15"/>
      <c r="P146" s="16"/>
      <c r="Q146" s="16"/>
      <c r="R146" s="16"/>
      <c r="S146" s="16"/>
      <c r="T146" s="16"/>
      <c r="U146" s="16"/>
      <c r="V146" s="16"/>
      <c r="W146" s="16"/>
      <c r="X146" s="16"/>
      <c r="Y146" s="16"/>
      <c r="Z146" s="17"/>
    </row>
    <row r="147" spans="1:27" s="59" customFormat="1" ht="51">
      <c r="A147" s="8"/>
      <c r="B147" s="11" t="str">
        <f>+IFERROR(VLOOKUP(C147,Listas!$L$8:$M$101,2,FALSE),"")</f>
        <v>10040104</v>
      </c>
      <c r="C147" s="335" t="s">
        <v>481</v>
      </c>
      <c r="D147" s="273"/>
      <c r="E147" s="274"/>
      <c r="F147" s="583"/>
      <c r="G147" s="401" t="s">
        <v>1131</v>
      </c>
      <c r="H147" s="9" t="str">
        <f>+IF(I147=""," ",VLOOKUP(I147,Listas!$I$8:$J$10,2,FALSE))</f>
        <v xml:space="preserve"> </v>
      </c>
      <c r="I147" s="335"/>
      <c r="J147" s="369" t="str">
        <f>+IF(K147=""," ",VLOOKUP(K147,PUC!$B:$C,2,FALSE))</f>
        <v xml:space="preserve"> </v>
      </c>
      <c r="K147" s="335"/>
      <c r="L147" s="11" t="str">
        <f>+IF(M147=""," ",VLOOKUP(M147,Listas!$F$9:$G$17,2,FALSE))</f>
        <v xml:space="preserve"> </v>
      </c>
      <c r="M147" s="357"/>
      <c r="N147" s="346"/>
      <c r="O147" s="15"/>
      <c r="P147" s="16"/>
      <c r="Q147" s="16"/>
      <c r="R147" s="16"/>
      <c r="S147" s="16"/>
      <c r="T147" s="16"/>
      <c r="U147" s="16"/>
      <c r="V147" s="16"/>
      <c r="W147" s="16"/>
      <c r="X147" s="16"/>
      <c r="Y147" s="16"/>
      <c r="Z147" s="17"/>
    </row>
    <row r="148" spans="1:27" s="59" customFormat="1" ht="51">
      <c r="A148" s="8"/>
      <c r="B148" s="11" t="str">
        <f>+IFERROR(VLOOKUP(C148,Listas!$L$8:$M$101,2,FALSE),"")</f>
        <v>10040104</v>
      </c>
      <c r="C148" s="335" t="s">
        <v>481</v>
      </c>
      <c r="D148" s="273"/>
      <c r="E148" s="274"/>
      <c r="F148" s="583"/>
      <c r="G148" s="401" t="s">
        <v>1132</v>
      </c>
      <c r="H148" s="9" t="str">
        <f>+IF(I148=""," ",VLOOKUP(I148,Listas!$I$8:$J$10,2,FALSE))</f>
        <v xml:space="preserve"> </v>
      </c>
      <c r="I148" s="335"/>
      <c r="J148" s="369" t="str">
        <f>+IF(K148=""," ",VLOOKUP(K148,PUC!$B:$C,2,FALSE))</f>
        <v xml:space="preserve"> </v>
      </c>
      <c r="K148" s="335"/>
      <c r="L148" s="11" t="str">
        <f>+IF(M148=""," ",VLOOKUP(M148,Listas!$F$9:$G$17,2,FALSE))</f>
        <v xml:space="preserve"> </v>
      </c>
      <c r="M148" s="357"/>
      <c r="N148" s="346"/>
      <c r="O148" s="15"/>
      <c r="P148" s="16"/>
      <c r="Q148" s="16"/>
      <c r="R148" s="16"/>
      <c r="S148" s="16"/>
      <c r="T148" s="16"/>
      <c r="U148" s="16"/>
      <c r="V148" s="16"/>
      <c r="W148" s="16"/>
      <c r="X148" s="16"/>
      <c r="Y148" s="16"/>
      <c r="Z148" s="17"/>
    </row>
    <row r="149" spans="1:27" s="59" customFormat="1" ht="63.75">
      <c r="A149" s="8" t="s">
        <v>230</v>
      </c>
      <c r="B149" s="11" t="str">
        <f>+IFERROR(VLOOKUP(C149,Listas!$L$8:$M$101,2,FALSE),"")</f>
        <v>10040104</v>
      </c>
      <c r="C149" s="335" t="s">
        <v>481</v>
      </c>
      <c r="D149" s="273"/>
      <c r="E149" s="274"/>
      <c r="F149" s="583"/>
      <c r="G149" s="401" t="s">
        <v>1133</v>
      </c>
      <c r="H149" s="9" t="str">
        <f>+IF(I149=""," ",VLOOKUP(I149,Listas!$I$8:$J$10,2,FALSE))</f>
        <v xml:space="preserve"> </v>
      </c>
      <c r="I149" s="335"/>
      <c r="J149" s="369" t="str">
        <f>+IF(K149=""," ",VLOOKUP(K149,PUC!$B:$C,2,FALSE))</f>
        <v xml:space="preserve"> </v>
      </c>
      <c r="K149" s="335"/>
      <c r="L149" s="11" t="str">
        <f>+IF(M149=""," ",VLOOKUP(M149,Listas!$F$9:$G$17,2,FALSE))</f>
        <v xml:space="preserve"> </v>
      </c>
      <c r="M149" s="357"/>
      <c r="N149" s="346"/>
      <c r="O149" s="15"/>
      <c r="P149" s="16"/>
      <c r="Q149" s="16"/>
      <c r="R149" s="16"/>
      <c r="S149" s="16"/>
      <c r="T149" s="16"/>
      <c r="U149" s="16"/>
      <c r="V149" s="16"/>
      <c r="W149" s="16"/>
      <c r="X149" s="16"/>
      <c r="Y149" s="16"/>
      <c r="Z149" s="17"/>
    </row>
    <row r="150" spans="1:27" s="59" customFormat="1" ht="51">
      <c r="A150" s="8"/>
      <c r="B150" s="11" t="str">
        <f>+IFERROR(VLOOKUP(C150,Listas!$L$8:$M$101,2,FALSE),"")</f>
        <v>10040104</v>
      </c>
      <c r="C150" s="335" t="s">
        <v>481</v>
      </c>
      <c r="D150" s="273"/>
      <c r="E150" s="274"/>
      <c r="F150" s="583"/>
      <c r="G150" s="401" t="s">
        <v>1134</v>
      </c>
      <c r="H150" s="9" t="str">
        <f>+IF(I150=""," ",VLOOKUP(I150,Listas!$I$8:$J$10,2,FALSE))</f>
        <v xml:space="preserve"> </v>
      </c>
      <c r="I150" s="335"/>
      <c r="J150" s="369" t="str">
        <f>+IF(K150=""," ",VLOOKUP(K150,PUC!$B:$C,2,FALSE))</f>
        <v xml:space="preserve"> </v>
      </c>
      <c r="K150" s="335"/>
      <c r="L150" s="11" t="str">
        <f>+IF(M150=""," ",VLOOKUP(M150,Listas!$F$9:$G$17,2,FALSE))</f>
        <v xml:space="preserve"> </v>
      </c>
      <c r="M150" s="357"/>
      <c r="N150" s="346"/>
      <c r="O150" s="15"/>
      <c r="P150" s="16"/>
      <c r="Q150" s="16"/>
      <c r="R150" s="16"/>
      <c r="S150" s="16"/>
      <c r="T150" s="16"/>
      <c r="U150" s="16"/>
      <c r="V150" s="16"/>
      <c r="W150" s="16"/>
      <c r="X150" s="16"/>
      <c r="Y150" s="16"/>
      <c r="Z150" s="17"/>
    </row>
    <row r="151" spans="1:27" s="59" customFormat="1" ht="51">
      <c r="A151" s="8"/>
      <c r="B151" s="11" t="str">
        <f>+IFERROR(VLOOKUP(C151,Listas!$L$8:$M$101,2,FALSE),"")</f>
        <v>10040104</v>
      </c>
      <c r="C151" s="335" t="s">
        <v>481</v>
      </c>
      <c r="D151" s="273"/>
      <c r="E151" s="274"/>
      <c r="F151" s="583"/>
      <c r="G151" s="401" t="s">
        <v>1123</v>
      </c>
      <c r="H151" s="465" t="str">
        <f>+IF(I151=""," ",VLOOKUP(I151,Listas!$I$8:$J$10,2,FALSE))</f>
        <v>04</v>
      </c>
      <c r="I151" s="466" t="s">
        <v>466</v>
      </c>
      <c r="J151" s="467">
        <f>+IF(K151=""," ",VLOOKUP(K151,PUC!$B:$C,2,FALSE))</f>
        <v>6208021813</v>
      </c>
      <c r="K151" s="466" t="s">
        <v>985</v>
      </c>
      <c r="L151" s="468" t="str">
        <f>+IF(M151=""," ",VLOOKUP(M151,Listas!$F$9:$G$17,2,FALSE))</f>
        <v>02</v>
      </c>
      <c r="M151" s="469" t="s">
        <v>444</v>
      </c>
      <c r="N151" s="470">
        <v>2280000</v>
      </c>
      <c r="O151" s="15"/>
      <c r="P151" s="16"/>
      <c r="Q151" s="16"/>
      <c r="R151" s="16"/>
      <c r="S151" s="16"/>
      <c r="T151" s="16"/>
      <c r="U151" s="16"/>
      <c r="V151" s="16"/>
      <c r="W151" s="16"/>
      <c r="X151" s="16"/>
      <c r="Y151" s="16"/>
      <c r="Z151" s="17"/>
    </row>
    <row r="152" spans="1:27" s="59" customFormat="1" ht="63.75">
      <c r="A152" s="8"/>
      <c r="B152" s="11" t="str">
        <f>+IFERROR(VLOOKUP(C152,Listas!$L$8:$M$101,2,FALSE),"")</f>
        <v>10040104</v>
      </c>
      <c r="C152" s="335" t="s">
        <v>481</v>
      </c>
      <c r="D152" s="273"/>
      <c r="E152" s="274"/>
      <c r="F152" s="583"/>
      <c r="G152" s="401" t="s">
        <v>1135</v>
      </c>
      <c r="H152" s="465" t="str">
        <f>+IF(I152=""," ",VLOOKUP(I152,Listas!$I$8:$J$10,2,FALSE))</f>
        <v>02</v>
      </c>
      <c r="I152" s="466" t="s">
        <v>464</v>
      </c>
      <c r="J152" s="467">
        <f>+IF(K152=""," ",VLOOKUP(K152,PUC!$B:$C,2,FALSE))</f>
        <v>6208021807</v>
      </c>
      <c r="K152" s="466" t="s">
        <v>843</v>
      </c>
      <c r="L152" s="468" t="str">
        <f>+IF(M152=""," ",VLOOKUP(M152,Listas!$F$9:$G$17,2,FALSE))</f>
        <v>02</v>
      </c>
      <c r="M152" s="469" t="s">
        <v>444</v>
      </c>
      <c r="N152" s="470">
        <v>760000</v>
      </c>
      <c r="O152" s="15"/>
      <c r="P152" s="16"/>
      <c r="Q152" s="16"/>
      <c r="R152" s="16"/>
      <c r="S152" s="16"/>
      <c r="T152" s="16"/>
      <c r="U152" s="16"/>
      <c r="V152" s="16"/>
      <c r="W152" s="16"/>
      <c r="X152" s="16"/>
      <c r="Y152" s="16"/>
      <c r="Z152" s="17"/>
    </row>
    <row r="153" spans="1:27" s="59" customFormat="1" ht="51">
      <c r="A153" s="8"/>
      <c r="B153" s="11" t="str">
        <f>+IFERROR(VLOOKUP(C153,Listas!$L$8:$M$101,2,FALSE),"")</f>
        <v>10040104</v>
      </c>
      <c r="C153" s="335" t="s">
        <v>481</v>
      </c>
      <c r="D153" s="273"/>
      <c r="E153" s="274"/>
      <c r="F153" s="584"/>
      <c r="G153" s="401" t="s">
        <v>1124</v>
      </c>
      <c r="H153" s="465" t="str">
        <f>+IF(I153=""," ",VLOOKUP(I153,Listas!$I$8:$J$10,2,FALSE))</f>
        <v>02</v>
      </c>
      <c r="I153" s="466" t="s">
        <v>464</v>
      </c>
      <c r="J153" s="467">
        <f>+IF(K153=""," ",VLOOKUP(K153,PUC!$B:$C,2,FALSE))</f>
        <v>6208020707</v>
      </c>
      <c r="K153" s="466" t="s">
        <v>826</v>
      </c>
      <c r="L153" s="468" t="str">
        <f>+IF(M153=""," ",VLOOKUP(M153,Listas!$F$9:$G$17,2,FALSE))</f>
        <v>02</v>
      </c>
      <c r="M153" s="469" t="s">
        <v>444</v>
      </c>
      <c r="N153" s="470">
        <v>3800000</v>
      </c>
      <c r="O153" s="15"/>
      <c r="P153" s="16"/>
      <c r="Q153" s="16"/>
      <c r="R153" s="16"/>
      <c r="S153" s="16"/>
      <c r="T153" s="16"/>
      <c r="U153" s="16"/>
      <c r="V153" s="16"/>
      <c r="W153" s="16"/>
      <c r="X153" s="16"/>
      <c r="Y153" s="16"/>
      <c r="Z153" s="17"/>
    </row>
    <row r="154" spans="1:27" s="59" customFormat="1" ht="29.25" customHeight="1" thickBot="1">
      <c r="A154" s="8"/>
      <c r="B154" s="11" t="str">
        <f>+IFERROR(VLOOKUP(C154,Listas!$L$8:$M$101,2,FALSE),"")</f>
        <v>10040104</v>
      </c>
      <c r="C154" s="335" t="s">
        <v>481</v>
      </c>
      <c r="D154" s="273"/>
      <c r="E154" s="274"/>
      <c r="F154" s="301"/>
      <c r="G154" s="371"/>
      <c r="H154" s="465" t="str">
        <f>+IF(I154=""," ",VLOOKUP(I154,Listas!$I$8:$J$10,2,FALSE))</f>
        <v>03</v>
      </c>
      <c r="I154" s="466" t="s">
        <v>465</v>
      </c>
      <c r="J154" s="467">
        <f>+IF(K154=""," ",VLOOKUP(K154,PUC!$B:$C,2,FALSE))</f>
        <v>1524100101</v>
      </c>
      <c r="K154" s="466" t="s">
        <v>911</v>
      </c>
      <c r="L154" s="468" t="str">
        <f>+IF(M154=""," ",VLOOKUP(M154,Listas!$F$9:$G$17,2,FALSE))</f>
        <v>02</v>
      </c>
      <c r="M154" s="469" t="s">
        <v>444</v>
      </c>
      <c r="N154" s="470">
        <v>7600000</v>
      </c>
      <c r="O154" s="15"/>
      <c r="P154" s="16"/>
      <c r="Q154" s="16"/>
      <c r="R154" s="16"/>
      <c r="S154" s="16"/>
      <c r="T154" s="16"/>
      <c r="U154" s="16"/>
      <c r="V154" s="16"/>
      <c r="W154" s="16"/>
      <c r="X154" s="16"/>
      <c r="Y154" s="16"/>
      <c r="Z154" s="17"/>
    </row>
    <row r="155" spans="1:27" s="59" customFormat="1" ht="29.25" hidden="1" customHeight="1">
      <c r="A155" s="8"/>
      <c r="B155" s="11" t="str">
        <f>+IFERROR(VLOOKUP(C155,Listas!$L$8:$M$101,2,FALSE),"")</f>
        <v>10040104</v>
      </c>
      <c r="C155" s="335" t="s">
        <v>481</v>
      </c>
      <c r="D155" s="273"/>
      <c r="E155" s="274"/>
      <c r="F155" s="273"/>
      <c r="G155" s="274"/>
      <c r="H155" s="9" t="str">
        <f>+IF(I155=""," ",VLOOKUP(I155,Listas!$I$8:$J$10,2,FALSE))</f>
        <v xml:space="preserve"> </v>
      </c>
      <c r="I155" s="335"/>
      <c r="J155" s="369" t="str">
        <f>+IF(K155=""," ",VLOOKUP(K155,PUC!$B:$C,2,FALSE))</f>
        <v xml:space="preserve"> </v>
      </c>
      <c r="K155" s="335"/>
      <c r="L155" s="11" t="str">
        <f>+IF(M155=""," ",VLOOKUP(M155,Listas!$F$9:$G$17,2,FALSE))</f>
        <v xml:space="preserve"> </v>
      </c>
      <c r="M155" s="357"/>
      <c r="N155" s="346"/>
      <c r="O155" s="15"/>
      <c r="P155" s="16"/>
      <c r="Q155" s="16"/>
      <c r="R155" s="16"/>
      <c r="S155" s="16"/>
      <c r="T155" s="16"/>
      <c r="U155" s="16"/>
      <c r="V155" s="16"/>
      <c r="W155" s="16"/>
      <c r="X155" s="16"/>
      <c r="Y155" s="16"/>
      <c r="Z155" s="17"/>
    </row>
    <row r="156" spans="1:27" s="59" customFormat="1" ht="29.25" hidden="1" customHeight="1">
      <c r="A156" s="8"/>
      <c r="B156" s="11" t="str">
        <f>+IFERROR(VLOOKUP(C156,Listas!$L$8:$M$101,2,FALSE),"")</f>
        <v>10040104</v>
      </c>
      <c r="C156" s="335" t="s">
        <v>481</v>
      </c>
      <c r="D156" s="273"/>
      <c r="E156" s="274"/>
      <c r="F156" s="273"/>
      <c r="G156" s="274"/>
      <c r="H156" s="9" t="str">
        <f>+IF(I156=""," ",VLOOKUP(I156,Listas!$I$8:$J$10,2,FALSE))</f>
        <v xml:space="preserve"> </v>
      </c>
      <c r="I156" s="335"/>
      <c r="J156" s="369" t="str">
        <f>+IF(K156=""," ",VLOOKUP(K156,PUC!$B:$C,2,FALSE))</f>
        <v xml:space="preserve"> </v>
      </c>
      <c r="K156" s="335"/>
      <c r="L156" s="11" t="str">
        <f>+IF(M156=""," ",VLOOKUP(M156,Listas!$F$9:$G$17,2,FALSE))</f>
        <v xml:space="preserve"> </v>
      </c>
      <c r="M156" s="357"/>
      <c r="N156" s="346"/>
      <c r="O156" s="15"/>
      <c r="P156" s="16"/>
      <c r="Q156" s="16"/>
      <c r="R156" s="16"/>
      <c r="S156" s="16"/>
      <c r="T156" s="16"/>
      <c r="U156" s="16"/>
      <c r="V156" s="16"/>
      <c r="W156" s="16"/>
      <c r="X156" s="16"/>
      <c r="Y156" s="16"/>
      <c r="Z156" s="17"/>
    </row>
    <row r="157" spans="1:27" s="59" customFormat="1" ht="29.25" hidden="1" customHeight="1">
      <c r="A157" s="8"/>
      <c r="B157" s="11" t="str">
        <f>+IFERROR(VLOOKUP(C157,Listas!$L$8:$M$101,2,FALSE),"")</f>
        <v>10040104</v>
      </c>
      <c r="C157" s="335" t="s">
        <v>481</v>
      </c>
      <c r="D157" s="273"/>
      <c r="E157" s="274"/>
      <c r="F157" s="273"/>
      <c r="G157" s="274"/>
      <c r="H157" s="9" t="str">
        <f>+IF(I157=""," ",VLOOKUP(I157,Listas!$I$8:$J$10,2,FALSE))</f>
        <v xml:space="preserve"> </v>
      </c>
      <c r="I157" s="335"/>
      <c r="J157" s="369" t="str">
        <f>+IF(K157=""," ",VLOOKUP(K157,PUC!$B:$C,2,FALSE))</f>
        <v xml:space="preserve"> </v>
      </c>
      <c r="K157" s="335"/>
      <c r="L157" s="11" t="str">
        <f>+IF(M157=""," ",VLOOKUP(M157,Listas!$F$9:$G$17,2,FALSE))</f>
        <v xml:space="preserve"> </v>
      </c>
      <c r="M157" s="357"/>
      <c r="N157" s="346"/>
      <c r="O157" s="15"/>
      <c r="P157" s="16"/>
      <c r="Q157" s="16"/>
      <c r="R157" s="16"/>
      <c r="S157" s="16"/>
      <c r="T157" s="16"/>
      <c r="U157" s="16"/>
      <c r="V157" s="16"/>
      <c r="W157" s="16"/>
      <c r="X157" s="16"/>
      <c r="Y157" s="16"/>
      <c r="Z157" s="17"/>
    </row>
    <row r="158" spans="1:27" s="59" customFormat="1" ht="29.25" hidden="1" customHeight="1">
      <c r="A158" s="8"/>
      <c r="B158" s="11" t="str">
        <f>+IFERROR(VLOOKUP(C158,Listas!$L$8:$M$101,2,FALSE),"")</f>
        <v>10040104</v>
      </c>
      <c r="C158" s="335" t="s">
        <v>481</v>
      </c>
      <c r="D158" s="273"/>
      <c r="E158" s="274"/>
      <c r="F158" s="273"/>
      <c r="G158" s="274"/>
      <c r="H158" s="9" t="str">
        <f>+IF(I158=""," ",VLOOKUP(I158,Listas!$I$8:$J$10,2,FALSE))</f>
        <v xml:space="preserve"> </v>
      </c>
      <c r="I158" s="335"/>
      <c r="J158" s="369" t="str">
        <f>+IF(K158=""," ",VLOOKUP(K158,PUC!$B:$C,2,FALSE))</f>
        <v xml:space="preserve"> </v>
      </c>
      <c r="K158" s="335"/>
      <c r="L158" s="11" t="str">
        <f>+IF(M158=""," ",VLOOKUP(M158,Listas!$F$9:$G$17,2,FALSE))</f>
        <v xml:space="preserve"> </v>
      </c>
      <c r="M158" s="357"/>
      <c r="N158" s="346"/>
      <c r="O158" s="15"/>
      <c r="P158" s="16"/>
      <c r="Q158" s="16"/>
      <c r="R158" s="16"/>
      <c r="S158" s="16"/>
      <c r="T158" s="16"/>
      <c r="U158" s="16"/>
      <c r="V158" s="16"/>
      <c r="W158" s="16"/>
      <c r="X158" s="16"/>
      <c r="Y158" s="16"/>
      <c r="Z158" s="17"/>
    </row>
    <row r="159" spans="1:27" s="59" customFormat="1" ht="29.25" hidden="1" customHeight="1" thickBot="1">
      <c r="A159" s="8"/>
      <c r="B159" s="28" t="str">
        <f>+IFERROR(VLOOKUP(C159,Listas!$L$8:$M$101,2,FALSE),"")</f>
        <v>10040104</v>
      </c>
      <c r="C159" s="342" t="s">
        <v>481</v>
      </c>
      <c r="D159" s="279"/>
      <c r="E159" s="280"/>
      <c r="F159" s="279"/>
      <c r="G159" s="280"/>
      <c r="H159" s="26" t="str">
        <f>+IF(I159=""," ",VLOOKUP(I159,Listas!$I$8:$J$10,2,FALSE))</f>
        <v xml:space="preserve"> </v>
      </c>
      <c r="I159" s="342"/>
      <c r="J159" s="398" t="str">
        <f>+IF(K159=""," ",VLOOKUP(K159,PUC!$B:$C,2,FALSE))</f>
        <v xml:space="preserve"> </v>
      </c>
      <c r="K159" s="342"/>
      <c r="L159" s="28" t="str">
        <f>+IF(M159=""," ",VLOOKUP(M159,Listas!$F$9:$G$17,2,FALSE))</f>
        <v xml:space="preserve"> </v>
      </c>
      <c r="M159" s="360"/>
      <c r="N159" s="349"/>
      <c r="O159" s="29"/>
      <c r="P159" s="30"/>
      <c r="Q159" s="30"/>
      <c r="R159" s="30"/>
      <c r="S159" s="30"/>
      <c r="T159" s="30"/>
      <c r="U159" s="30"/>
      <c r="V159" s="30"/>
      <c r="W159" s="30"/>
      <c r="X159" s="30"/>
      <c r="Y159" s="30"/>
      <c r="Z159" s="31"/>
    </row>
    <row r="160" spans="1:27" s="59" customFormat="1" ht="76.5">
      <c r="A160" s="8"/>
      <c r="B160" s="20" t="str">
        <f>+IFERROR(VLOOKUP(C160,Listas!$L$8:$M$101,2,FALSE),"")</f>
        <v>10050101</v>
      </c>
      <c r="C160" s="340" t="s">
        <v>482</v>
      </c>
      <c r="D160" s="275"/>
      <c r="E160" s="276"/>
      <c r="F160" s="582" t="s">
        <v>1136</v>
      </c>
      <c r="G160" s="402" t="s">
        <v>1137</v>
      </c>
      <c r="H160" s="18" t="str">
        <f>+IF(I160=""," ",VLOOKUP(I160,Listas!$I$12:$J$14,2,FALSE))</f>
        <v xml:space="preserve"> </v>
      </c>
      <c r="I160" s="340"/>
      <c r="J160" s="375" t="str">
        <f>+IF(K160=""," ",VLOOKUP(K160,PUC!$B:$C,2,FALSE))</f>
        <v xml:space="preserve"> </v>
      </c>
      <c r="K160" s="340"/>
      <c r="L160" s="20" t="str">
        <f>+IF(M160=""," ",VLOOKUP(M160,Listas!$F$9:$G$17,2,FALSE))</f>
        <v xml:space="preserve"> </v>
      </c>
      <c r="M160" s="358"/>
      <c r="N160" s="347"/>
      <c r="O160" s="12"/>
      <c r="P160" s="13"/>
      <c r="Q160" s="13"/>
      <c r="R160" s="13"/>
      <c r="S160" s="13"/>
      <c r="T160" s="13"/>
      <c r="U160" s="13"/>
      <c r="V160" s="13"/>
      <c r="W160" s="13"/>
      <c r="X160" s="13"/>
      <c r="Y160" s="13"/>
      <c r="Z160" s="14"/>
      <c r="AA160" s="59" t="e">
        <f>IF(I160="Gastos Investigación",GtosInves,IF(I160="Inversión",Inversiones,InverInvest))</f>
        <v>#VALUE!</v>
      </c>
    </row>
    <row r="161" spans="1:27" s="59" customFormat="1" ht="38.25">
      <c r="A161" s="8"/>
      <c r="B161" s="11" t="str">
        <f>+IFERROR(VLOOKUP(C161,Listas!$L$8:$M$101,2,FALSE),"")</f>
        <v>10050101</v>
      </c>
      <c r="C161" s="335" t="s">
        <v>482</v>
      </c>
      <c r="D161" s="273"/>
      <c r="E161" s="274"/>
      <c r="F161" s="583"/>
      <c r="G161" s="401" t="s">
        <v>1138</v>
      </c>
      <c r="H161" s="32" t="str">
        <f>+IF(I161=""," ",VLOOKUP(I161,Listas!$I$12:$J$14,2,FALSE))</f>
        <v xml:space="preserve"> </v>
      </c>
      <c r="I161" s="343"/>
      <c r="J161" s="369" t="str">
        <f>+IF(K161=""," ",VLOOKUP(K161,PUC!$B:$C,2,FALSE))</f>
        <v xml:space="preserve"> </v>
      </c>
      <c r="K161" s="343"/>
      <c r="L161" s="11" t="str">
        <f>+IF(M161=""," ",VLOOKUP(M161,Listas!$F$9:$G$17,2,FALSE))</f>
        <v xml:space="preserve"> </v>
      </c>
      <c r="M161" s="357"/>
      <c r="N161" s="346"/>
      <c r="O161" s="15"/>
      <c r="P161" s="16"/>
      <c r="Q161" s="16"/>
      <c r="R161" s="16"/>
      <c r="S161" s="16"/>
      <c r="T161" s="16"/>
      <c r="U161" s="16"/>
      <c r="V161" s="16"/>
      <c r="W161" s="16"/>
      <c r="X161" s="16"/>
      <c r="Y161" s="16"/>
      <c r="Z161" s="17"/>
    </row>
    <row r="162" spans="1:27" s="59" customFormat="1" ht="38.25">
      <c r="A162" s="8"/>
      <c r="B162" s="11" t="str">
        <f>+IFERROR(VLOOKUP(C162,Listas!$L$8:$M$101,2,FALSE),"")</f>
        <v>10050101</v>
      </c>
      <c r="C162" s="335" t="s">
        <v>482</v>
      </c>
      <c r="D162" s="273"/>
      <c r="E162" s="274"/>
      <c r="F162" s="584"/>
      <c r="G162" s="401" t="s">
        <v>1139</v>
      </c>
      <c r="H162" s="32" t="str">
        <f>+IF(I162=""," ",VLOOKUP(I162,Listas!$I$12:$J$14,2,FALSE))</f>
        <v xml:space="preserve"> </v>
      </c>
      <c r="I162" s="343"/>
      <c r="J162" s="369" t="str">
        <f>+IF(K162=""," ",VLOOKUP(K162,PUC!$B:$C,2,FALSE))</f>
        <v xml:space="preserve"> </v>
      </c>
      <c r="K162" s="343"/>
      <c r="L162" s="11" t="str">
        <f>+IF(M162=""," ",VLOOKUP(M162,Listas!$F$9:$G$17,2,FALSE))</f>
        <v xml:space="preserve"> </v>
      </c>
      <c r="M162" s="357"/>
      <c r="N162" s="346"/>
      <c r="O162" s="15"/>
      <c r="P162" s="16"/>
      <c r="Q162" s="16"/>
      <c r="R162" s="16"/>
      <c r="S162" s="16"/>
      <c r="T162" s="16"/>
      <c r="U162" s="16"/>
      <c r="V162" s="16"/>
      <c r="W162" s="16"/>
      <c r="X162" s="16"/>
      <c r="Y162" s="16"/>
      <c r="Z162" s="17"/>
    </row>
    <row r="163" spans="1:27" s="59" customFormat="1" ht="25.5" customHeight="1">
      <c r="A163" s="8"/>
      <c r="B163" s="11" t="str">
        <f>+IFERROR(VLOOKUP(C163,Listas!$L$8:$M$101,2,FALSE),"")</f>
        <v>10050101</v>
      </c>
      <c r="C163" s="335" t="s">
        <v>482</v>
      </c>
      <c r="D163" s="273"/>
      <c r="E163" s="274"/>
      <c r="F163" s="621" t="s">
        <v>1140</v>
      </c>
      <c r="G163" s="401" t="s">
        <v>1141</v>
      </c>
      <c r="H163" s="32" t="str">
        <f>+IF(I163=""," ",VLOOKUP(I163,Listas!$I$12:$J$14,2,FALSE))</f>
        <v xml:space="preserve"> </v>
      </c>
      <c r="I163" s="343"/>
      <c r="J163" s="369" t="str">
        <f>+IF(K163=""," ",VLOOKUP(K163,PUC!$B:$C,2,FALSE))</f>
        <v xml:space="preserve"> </v>
      </c>
      <c r="K163" s="343"/>
      <c r="L163" s="11" t="str">
        <f>+IF(M163=""," ",VLOOKUP(M163,Listas!$F$9:$G$17,2,FALSE))</f>
        <v xml:space="preserve"> </v>
      </c>
      <c r="M163" s="357"/>
      <c r="N163" s="346"/>
      <c r="O163" s="15"/>
      <c r="P163" s="16"/>
      <c r="Q163" s="16"/>
      <c r="R163" s="16"/>
      <c r="S163" s="16"/>
      <c r="T163" s="16"/>
      <c r="U163" s="16"/>
      <c r="V163" s="16"/>
      <c r="W163" s="16"/>
      <c r="X163" s="16"/>
      <c r="Y163" s="16"/>
      <c r="Z163" s="17"/>
    </row>
    <row r="164" spans="1:27" s="59" customFormat="1" ht="38.25">
      <c r="A164" s="8"/>
      <c r="B164" s="11" t="str">
        <f>+IFERROR(VLOOKUP(C164,Listas!$L$8:$M$101,2,FALSE),"")</f>
        <v>10050101</v>
      </c>
      <c r="C164" s="335" t="s">
        <v>482</v>
      </c>
      <c r="D164" s="273"/>
      <c r="E164" s="274"/>
      <c r="F164" s="622"/>
      <c r="G164" s="401" t="s">
        <v>1142</v>
      </c>
      <c r="H164" s="32" t="str">
        <f>+IF(I164=""," ",VLOOKUP(I164,Listas!$I$12:$J$14,2,FALSE))</f>
        <v xml:space="preserve"> </v>
      </c>
      <c r="I164" s="343"/>
      <c r="J164" s="369" t="str">
        <f>+IF(K164=""," ",VLOOKUP(K164,PUC!$B:$C,2,FALSE))</f>
        <v xml:space="preserve"> </v>
      </c>
      <c r="K164" s="343"/>
      <c r="L164" s="11" t="str">
        <f>+IF(M164=""," ",VLOOKUP(M164,Listas!$F$9:$G$17,2,FALSE))</f>
        <v xml:space="preserve"> </v>
      </c>
      <c r="M164" s="357"/>
      <c r="N164" s="346"/>
      <c r="O164" s="15"/>
      <c r="P164" s="16"/>
      <c r="Q164" s="16"/>
      <c r="R164" s="16"/>
      <c r="S164" s="16"/>
      <c r="T164" s="16"/>
      <c r="U164" s="16"/>
      <c r="V164" s="16"/>
      <c r="W164" s="16"/>
      <c r="X164" s="16"/>
      <c r="Y164" s="16"/>
      <c r="Z164" s="17"/>
    </row>
    <row r="165" spans="1:27" s="59" customFormat="1" ht="38.25">
      <c r="A165" s="8"/>
      <c r="B165" s="11" t="str">
        <f>+IFERROR(VLOOKUP(C165,Listas!$L$8:$M$101,2,FALSE),"")</f>
        <v>10050101</v>
      </c>
      <c r="C165" s="335" t="s">
        <v>482</v>
      </c>
      <c r="D165" s="273"/>
      <c r="E165" s="274"/>
      <c r="F165" s="622"/>
      <c r="G165" s="401" t="s">
        <v>1143</v>
      </c>
      <c r="H165" s="32" t="str">
        <f>+IF(I165=""," ",VLOOKUP(I165,Listas!$I$12:$J$14,2,FALSE))</f>
        <v xml:space="preserve"> </v>
      </c>
      <c r="I165" s="343"/>
      <c r="J165" s="369" t="str">
        <f>+IF(K165=""," ",VLOOKUP(K165,PUC!$B:$C,2,FALSE))</f>
        <v xml:space="preserve"> </v>
      </c>
      <c r="K165" s="343"/>
      <c r="L165" s="11" t="str">
        <f>+IF(M165=""," ",VLOOKUP(M165,Listas!$F$9:$G$17,2,FALSE))</f>
        <v xml:space="preserve"> </v>
      </c>
      <c r="M165" s="357"/>
      <c r="N165" s="346"/>
      <c r="O165" s="15"/>
      <c r="P165" s="16"/>
      <c r="Q165" s="16"/>
      <c r="R165" s="16"/>
      <c r="S165" s="16"/>
      <c r="T165" s="16"/>
      <c r="U165" s="16"/>
      <c r="V165" s="16"/>
      <c r="W165" s="16"/>
      <c r="X165" s="16"/>
      <c r="Y165" s="16"/>
      <c r="Z165" s="17"/>
    </row>
    <row r="166" spans="1:27" s="59" customFormat="1" ht="51">
      <c r="A166" s="8"/>
      <c r="B166" s="11" t="str">
        <f>+IFERROR(VLOOKUP(C166,Listas!$L$8:$M$101,2,FALSE),"")</f>
        <v>10050101</v>
      </c>
      <c r="C166" s="335" t="s">
        <v>482</v>
      </c>
      <c r="D166" s="273"/>
      <c r="E166" s="274"/>
      <c r="F166" s="622"/>
      <c r="G166" s="401" t="s">
        <v>1144</v>
      </c>
      <c r="H166" s="32" t="str">
        <f>+IF(I166=""," ",VLOOKUP(I166,Listas!$I$12:$J$14,2,FALSE))</f>
        <v xml:space="preserve"> </v>
      </c>
      <c r="I166" s="343"/>
      <c r="J166" s="369" t="str">
        <f>+IF(K166=""," ",VLOOKUP(K166,PUC!$B:$C,2,FALSE))</f>
        <v xml:space="preserve"> </v>
      </c>
      <c r="K166" s="343"/>
      <c r="L166" s="11" t="str">
        <f>+IF(M166=""," ",VLOOKUP(M166,Listas!$F$9:$G$17,2,FALSE))</f>
        <v xml:space="preserve"> </v>
      </c>
      <c r="M166" s="357"/>
      <c r="N166" s="346"/>
      <c r="O166" s="15"/>
      <c r="P166" s="16"/>
      <c r="Q166" s="16"/>
      <c r="R166" s="16"/>
      <c r="S166" s="16"/>
      <c r="T166" s="16"/>
      <c r="U166" s="16"/>
      <c r="V166" s="16"/>
      <c r="W166" s="16"/>
      <c r="X166" s="16"/>
      <c r="Y166" s="16"/>
      <c r="Z166" s="17"/>
    </row>
    <row r="167" spans="1:27" s="59" customFormat="1" ht="28.5" customHeight="1">
      <c r="A167" s="8"/>
      <c r="B167" s="11" t="str">
        <f>+IFERROR(VLOOKUP(C167,Listas!$L$8:$M$101,2,FALSE),"")</f>
        <v>10050101</v>
      </c>
      <c r="C167" s="335" t="s">
        <v>482</v>
      </c>
      <c r="D167" s="273"/>
      <c r="E167" s="274"/>
      <c r="F167" s="622"/>
      <c r="G167" s="401" t="s">
        <v>1352</v>
      </c>
      <c r="H167" s="32" t="str">
        <f>+IF(I167=""," ",VLOOKUP(I167,Listas!$I$12:$J$14,2,FALSE))</f>
        <v>05</v>
      </c>
      <c r="I167" s="343" t="s">
        <v>467</v>
      </c>
      <c r="J167" s="369">
        <f>+IF(K167=""," ",VLOOKUP(K167,PUC!$B:$C,2,FALSE))</f>
        <v>6210020505</v>
      </c>
      <c r="K167" s="343" t="s">
        <v>649</v>
      </c>
      <c r="L167" s="11" t="str">
        <f>+IF(M167=""," ",VLOOKUP(M167,Listas!$F$9:$G$17,2,FALSE))</f>
        <v>03</v>
      </c>
      <c r="M167" s="357" t="s">
        <v>446</v>
      </c>
      <c r="N167" s="346">
        <f>+MROUND(138000*1.05*AA167,1000)</f>
        <v>290000</v>
      </c>
      <c r="O167" s="15"/>
      <c r="P167" s="16"/>
      <c r="Q167" s="16"/>
      <c r="R167" s="16"/>
      <c r="S167" s="16"/>
      <c r="T167" s="16"/>
      <c r="U167" s="16"/>
      <c r="V167" s="16"/>
      <c r="W167" s="16"/>
      <c r="X167" s="16"/>
      <c r="Y167" s="16"/>
      <c r="Z167" s="17"/>
      <c r="AA167" s="59">
        <v>2</v>
      </c>
    </row>
    <row r="168" spans="1:27" s="59" customFormat="1" ht="28.5" customHeight="1">
      <c r="A168" s="8"/>
      <c r="B168" s="11" t="str">
        <f>+IFERROR(VLOOKUP(C168,Listas!$L$8:$M$101,2,FALSE),"")</f>
        <v>10050101</v>
      </c>
      <c r="C168" s="335" t="s">
        <v>482</v>
      </c>
      <c r="D168" s="273"/>
      <c r="E168" s="274"/>
      <c r="F168" s="622"/>
      <c r="G168" s="401" t="s">
        <v>1352</v>
      </c>
      <c r="H168" s="32" t="str">
        <f>+IF(I168=""," ",VLOOKUP(I168,Listas!$I$12:$J$14,2,FALSE))</f>
        <v>05</v>
      </c>
      <c r="I168" s="343" t="s">
        <v>467</v>
      </c>
      <c r="J168" s="369">
        <f>+IF(K168=""," ",VLOOKUP(K168,PUC!$B:$C,2,FALSE))</f>
        <v>6210020503</v>
      </c>
      <c r="K168" s="343" t="s">
        <v>650</v>
      </c>
      <c r="L168" s="11" t="str">
        <f>+IF(M168=""," ",VLOOKUP(M168,Listas!$F$9:$G$17,2,FALSE))</f>
        <v>03</v>
      </c>
      <c r="M168" s="357" t="s">
        <v>446</v>
      </c>
      <c r="N168" s="346">
        <f>+MROUND(500000*AA167,1000)</f>
        <v>1000000</v>
      </c>
      <c r="O168" s="15"/>
      <c r="P168" s="16"/>
      <c r="Q168" s="16"/>
      <c r="R168" s="16"/>
      <c r="S168" s="16"/>
      <c r="T168" s="16"/>
      <c r="U168" s="16"/>
      <c r="V168" s="16"/>
      <c r="W168" s="16"/>
      <c r="X168" s="16"/>
      <c r="Y168" s="16"/>
      <c r="Z168" s="17"/>
    </row>
    <row r="169" spans="1:27" s="59" customFormat="1" ht="38.25">
      <c r="A169" s="8"/>
      <c r="B169" s="11" t="str">
        <f>+IFERROR(VLOOKUP(C169,Listas!$L$8:$M$101,2,FALSE),"")</f>
        <v>10050101</v>
      </c>
      <c r="C169" s="335" t="s">
        <v>482</v>
      </c>
      <c r="D169" s="273"/>
      <c r="E169" s="274"/>
      <c r="F169" s="622"/>
      <c r="G169" s="401" t="s">
        <v>1352</v>
      </c>
      <c r="H169" s="32" t="str">
        <f>+IF(I169=""," ",VLOOKUP(I169,Listas!$I$12:$J$14,2,FALSE))</f>
        <v>05</v>
      </c>
      <c r="I169" s="343" t="s">
        <v>467</v>
      </c>
      <c r="J169" s="369">
        <f>+IF(K169=""," ",VLOOKUP(K169,PUC!$B:$C,2,FALSE))</f>
        <v>6210020501</v>
      </c>
      <c r="K169" s="343" t="s">
        <v>648</v>
      </c>
      <c r="L169" s="11" t="str">
        <f>+IF(M169=""," ",VLOOKUP(M169,Listas!$F$9:$G$17,2,FALSE))</f>
        <v>03</v>
      </c>
      <c r="M169" s="357" t="s">
        <v>446</v>
      </c>
      <c r="N169" s="346">
        <f>+MROUND(576000*1.05*3*AA167,1000)</f>
        <v>3629000</v>
      </c>
      <c r="O169" s="15"/>
      <c r="P169" s="16"/>
      <c r="Q169" s="16"/>
      <c r="R169" s="16"/>
      <c r="S169" s="16"/>
      <c r="T169" s="16"/>
      <c r="U169" s="16"/>
      <c r="V169" s="16"/>
      <c r="W169" s="16"/>
      <c r="X169" s="16"/>
      <c r="Y169" s="16"/>
      <c r="Z169" s="17"/>
    </row>
    <row r="170" spans="1:27" s="59" customFormat="1" ht="38.25">
      <c r="A170" s="8"/>
      <c r="B170" s="11" t="str">
        <f>+IFERROR(VLOOKUP(C170,Listas!$L$8:$M$101,2,FALSE),"")</f>
        <v>10050101</v>
      </c>
      <c r="C170" s="335" t="s">
        <v>482</v>
      </c>
      <c r="D170" s="273"/>
      <c r="E170" s="274"/>
      <c r="F170" s="621" t="s">
        <v>1140</v>
      </c>
      <c r="G170" s="401" t="s">
        <v>1352</v>
      </c>
      <c r="H170" s="32" t="str">
        <f>+IF(I170=""," ",VLOOKUP(I170,Listas!$I$12:$J$14,2,FALSE))</f>
        <v>06</v>
      </c>
      <c r="I170" s="343" t="s">
        <v>468</v>
      </c>
      <c r="J170" s="369">
        <f>+IF(K170=""," ",VLOOKUP(K170,PUC!$B:$C,2,FALSE))</f>
        <v>6210100302</v>
      </c>
      <c r="K170" s="343" t="s">
        <v>941</v>
      </c>
      <c r="L170" s="11" t="str">
        <f>+IF(M170=""," ",VLOOKUP(M170,Listas!$F$9:$G$17,2,FALSE))</f>
        <v>03</v>
      </c>
      <c r="M170" s="357" t="s">
        <v>446</v>
      </c>
      <c r="N170" s="346">
        <f>450000*AA167</f>
        <v>900000</v>
      </c>
      <c r="O170" s="15"/>
      <c r="P170" s="16"/>
      <c r="Q170" s="16"/>
      <c r="R170" s="16"/>
      <c r="S170" s="16"/>
      <c r="T170" s="16"/>
      <c r="U170" s="16"/>
      <c r="V170" s="16"/>
      <c r="W170" s="16"/>
      <c r="X170" s="16"/>
      <c r="Y170" s="16"/>
      <c r="Z170" s="17"/>
    </row>
    <row r="171" spans="1:27" s="59" customFormat="1" ht="38.25">
      <c r="A171" s="8"/>
      <c r="B171" s="11" t="str">
        <f>+IFERROR(VLOOKUP(C171,Listas!$L$8:$M$101,2,FALSE),"")</f>
        <v>10050101</v>
      </c>
      <c r="C171" s="335" t="s">
        <v>482</v>
      </c>
      <c r="D171" s="273"/>
      <c r="E171" s="274"/>
      <c r="F171" s="622"/>
      <c r="G171" s="401"/>
      <c r="H171" s="32" t="str">
        <f>+IF(I171=""," ",VLOOKUP(I171,Listas!$I$12:$J$14,2,FALSE))</f>
        <v xml:space="preserve"> </v>
      </c>
      <c r="I171" s="343"/>
      <c r="J171" s="369" t="str">
        <f>+IF(K171=""," ",VLOOKUP(K171,PUC!$B:$C,2,FALSE))</f>
        <v xml:space="preserve"> </v>
      </c>
      <c r="K171" s="343"/>
      <c r="L171" s="11" t="str">
        <f>+IF(M171=""," ",VLOOKUP(M171,Listas!$F$9:$G$17,2,FALSE))</f>
        <v xml:space="preserve"> </v>
      </c>
      <c r="M171" s="357"/>
      <c r="N171" s="346"/>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35" t="s">
        <v>482</v>
      </c>
      <c r="D172" s="273"/>
      <c r="E172" s="274"/>
      <c r="F172" s="622"/>
      <c r="G172" s="401" t="s">
        <v>1353</v>
      </c>
      <c r="H172" s="32" t="str">
        <f>+IF(I172=""," ",VLOOKUP(I172,Listas!$I$12:$J$14,2,FALSE))</f>
        <v>05</v>
      </c>
      <c r="I172" s="343" t="s">
        <v>467</v>
      </c>
      <c r="J172" s="369">
        <f>+IF(K172=""," ",VLOOKUP(K172,PUC!$B:$C,2,FALSE))</f>
        <v>6210020505</v>
      </c>
      <c r="K172" s="343" t="s">
        <v>649</v>
      </c>
      <c r="L172" s="11" t="str">
        <f>+IF(M172=""," ",VLOOKUP(M172,Listas!$F$9:$G$17,2,FALSE))</f>
        <v>03</v>
      </c>
      <c r="M172" s="357" t="s">
        <v>446</v>
      </c>
      <c r="N172" s="346">
        <f>+MROUND(138000*1.05*AA172,1000)</f>
        <v>145000</v>
      </c>
      <c r="O172" s="15"/>
      <c r="P172" s="16"/>
      <c r="Q172" s="16"/>
      <c r="R172" s="16"/>
      <c r="S172" s="16"/>
      <c r="T172" s="16"/>
      <c r="U172" s="16"/>
      <c r="V172" s="16"/>
      <c r="W172" s="16"/>
      <c r="X172" s="16"/>
      <c r="Y172" s="16"/>
      <c r="Z172" s="17"/>
      <c r="AA172" s="59">
        <v>1</v>
      </c>
    </row>
    <row r="173" spans="1:27" s="59" customFormat="1" ht="38.25">
      <c r="A173" s="8"/>
      <c r="B173" s="11" t="str">
        <f>+IFERROR(VLOOKUP(C173,Listas!$L$8:$M$101,2,FALSE),"")</f>
        <v>10050101</v>
      </c>
      <c r="C173" s="335" t="s">
        <v>482</v>
      </c>
      <c r="D173" s="273"/>
      <c r="E173" s="274"/>
      <c r="F173" s="622"/>
      <c r="G173" s="401" t="s">
        <v>1353</v>
      </c>
      <c r="H173" s="32" t="str">
        <f>+IF(I173=""," ",VLOOKUP(I173,Listas!$I$12:$J$14,2,FALSE))</f>
        <v>05</v>
      </c>
      <c r="I173" s="343" t="s">
        <v>467</v>
      </c>
      <c r="J173" s="369">
        <f>+IF(K173=""," ",VLOOKUP(K173,PUC!$B:$C,2,FALSE))</f>
        <v>6210020503</v>
      </c>
      <c r="K173" s="343" t="s">
        <v>650</v>
      </c>
      <c r="L173" s="11" t="str">
        <f>+IF(M173=""," ",VLOOKUP(M173,Listas!$F$9:$G$17,2,FALSE))</f>
        <v>03</v>
      </c>
      <c r="M173" s="357" t="s">
        <v>446</v>
      </c>
      <c r="N173" s="346">
        <f>+MROUND(500000*AA172,1000)</f>
        <v>500000</v>
      </c>
      <c r="O173" s="15"/>
      <c r="P173" s="16"/>
      <c r="Q173" s="16"/>
      <c r="R173" s="16"/>
      <c r="S173" s="16"/>
      <c r="T173" s="16"/>
      <c r="U173" s="16"/>
      <c r="V173" s="16"/>
      <c r="W173" s="16"/>
      <c r="X173" s="16"/>
      <c r="Y173" s="16"/>
      <c r="Z173" s="17"/>
    </row>
    <row r="174" spans="1:27" s="59" customFormat="1" ht="38.25">
      <c r="A174" s="8"/>
      <c r="B174" s="11" t="str">
        <f>+IFERROR(VLOOKUP(C174,Listas!$L$8:$M$101,2,FALSE),"")</f>
        <v>10050101</v>
      </c>
      <c r="C174" s="335" t="s">
        <v>482</v>
      </c>
      <c r="D174" s="273"/>
      <c r="E174" s="274"/>
      <c r="F174" s="622"/>
      <c r="G174" s="401" t="s">
        <v>1353</v>
      </c>
      <c r="H174" s="32" t="str">
        <f>+IF(I174=""," ",VLOOKUP(I174,Listas!$I$12:$J$14,2,FALSE))</f>
        <v>05</v>
      </c>
      <c r="I174" s="343" t="s">
        <v>467</v>
      </c>
      <c r="J174" s="369">
        <f>+IF(K174=""," ",VLOOKUP(K174,PUC!$B:$C,2,FALSE))</f>
        <v>6210020501</v>
      </c>
      <c r="K174" s="343" t="s">
        <v>648</v>
      </c>
      <c r="L174" s="11" t="str">
        <f>+IF(M174=""," ",VLOOKUP(M174,Listas!$F$9:$G$17,2,FALSE))</f>
        <v>03</v>
      </c>
      <c r="M174" s="357" t="s">
        <v>446</v>
      </c>
      <c r="N174" s="346">
        <f>+MROUND(576000*1.05*3*AA172,1000)</f>
        <v>1814000</v>
      </c>
      <c r="O174" s="15"/>
      <c r="P174" s="16"/>
      <c r="Q174" s="16"/>
      <c r="R174" s="16"/>
      <c r="S174" s="16"/>
      <c r="T174" s="16"/>
      <c r="U174" s="16"/>
      <c r="V174" s="16"/>
      <c r="W174" s="16"/>
      <c r="X174" s="16"/>
      <c r="Y174" s="16"/>
      <c r="Z174" s="17"/>
    </row>
    <row r="175" spans="1:27" s="59" customFormat="1" ht="38.25">
      <c r="A175" s="8"/>
      <c r="B175" s="11" t="str">
        <f>+IFERROR(VLOOKUP(C175,Listas!$L$8:$M$101,2,FALSE),"")</f>
        <v>10050101</v>
      </c>
      <c r="C175" s="335" t="s">
        <v>482</v>
      </c>
      <c r="D175" s="273"/>
      <c r="E175" s="274"/>
      <c r="F175" s="622"/>
      <c r="G175" s="401" t="s">
        <v>1353</v>
      </c>
      <c r="H175" s="32" t="str">
        <f>+IF(I175=""," ",VLOOKUP(I175,Listas!$I$12:$J$14,2,FALSE))</f>
        <v>06</v>
      </c>
      <c r="I175" s="343" t="s">
        <v>468</v>
      </c>
      <c r="J175" s="369">
        <f>+IF(K175=""," ",VLOOKUP(K175,PUC!$B:$C,2,FALSE))</f>
        <v>6210022101</v>
      </c>
      <c r="K175" s="343" t="s">
        <v>942</v>
      </c>
      <c r="L175" s="11" t="str">
        <f>+IF(M175=""," ",VLOOKUP(M175,Listas!$F$9:$G$17,2,FALSE))</f>
        <v>03</v>
      </c>
      <c r="M175" s="357" t="s">
        <v>446</v>
      </c>
      <c r="N175" s="346">
        <f>450000*AA172</f>
        <v>450000</v>
      </c>
      <c r="O175" s="15"/>
      <c r="P175" s="16"/>
      <c r="Q175" s="16"/>
      <c r="R175" s="16"/>
      <c r="S175" s="16"/>
      <c r="T175" s="16"/>
      <c r="U175" s="16"/>
      <c r="V175" s="16"/>
      <c r="W175" s="16"/>
      <c r="X175" s="16"/>
      <c r="Y175" s="16"/>
      <c r="Z175" s="17"/>
    </row>
    <row r="176" spans="1:27" s="59" customFormat="1" ht="38.25">
      <c r="A176" s="8"/>
      <c r="B176" s="11" t="str">
        <f>+IFERROR(VLOOKUP(C176,Listas!$L$8:$M$101,2,FALSE),"")</f>
        <v>10050101</v>
      </c>
      <c r="C176" s="335" t="s">
        <v>482</v>
      </c>
      <c r="D176" s="273"/>
      <c r="E176" s="274"/>
      <c r="F176" s="622"/>
      <c r="G176" s="401"/>
      <c r="H176" s="32" t="str">
        <f>+IF(I176=""," ",VLOOKUP(I176,Listas!$I$12:$J$14,2,FALSE))</f>
        <v xml:space="preserve"> </v>
      </c>
      <c r="I176" s="343"/>
      <c r="J176" s="369" t="str">
        <f>+IF(K176=""," ",VLOOKUP(K176,PUC!$B:$C,2,FALSE))</f>
        <v xml:space="preserve"> </v>
      </c>
      <c r="K176" s="343"/>
      <c r="L176" s="11" t="str">
        <f>+IF(M176=""," ",VLOOKUP(M176,Listas!$F$9:$G$17,2,FALSE))</f>
        <v xml:space="preserve"> </v>
      </c>
      <c r="M176" s="357"/>
      <c r="N176" s="346"/>
      <c r="O176" s="15"/>
      <c r="P176" s="16"/>
      <c r="Q176" s="16"/>
      <c r="R176" s="16"/>
      <c r="S176" s="16"/>
      <c r="T176" s="16"/>
      <c r="U176" s="16"/>
      <c r="V176" s="16"/>
      <c r="W176" s="16"/>
      <c r="X176" s="16"/>
      <c r="Y176" s="16"/>
      <c r="Z176" s="17"/>
    </row>
    <row r="177" spans="1:27" s="59" customFormat="1" ht="25.5" customHeight="1">
      <c r="A177" s="8"/>
      <c r="B177" s="11" t="str">
        <f>+IFERROR(VLOOKUP(C177,Listas!$L$8:$M$101,2,FALSE),"")</f>
        <v>10050101</v>
      </c>
      <c r="C177" s="335" t="s">
        <v>482</v>
      </c>
      <c r="D177" s="273"/>
      <c r="E177" s="274"/>
      <c r="F177" s="621" t="s">
        <v>1140</v>
      </c>
      <c r="G177" s="401" t="s">
        <v>1354</v>
      </c>
      <c r="H177" s="32" t="str">
        <f>+IF(I177=""," ",VLOOKUP(I177,Listas!$I$12:$J$14,2,FALSE))</f>
        <v>06</v>
      </c>
      <c r="I177" s="343" t="s">
        <v>468</v>
      </c>
      <c r="J177" s="369">
        <f>+IF(K177=""," ",VLOOKUP(K177,PUC!$B:$C,2,FALSE))</f>
        <v>6210020504</v>
      </c>
      <c r="K177" s="343" t="s">
        <v>948</v>
      </c>
      <c r="L177" s="11" t="str">
        <f>+IF(M177=""," ",VLOOKUP(M177,Listas!$F$9:$G$17,2,FALSE))</f>
        <v>03</v>
      </c>
      <c r="M177" s="357" t="s">
        <v>446</v>
      </c>
      <c r="N177" s="346">
        <f>3000000*AA177</f>
        <v>3000000</v>
      </c>
      <c r="O177" s="15"/>
      <c r="P177" s="16"/>
      <c r="Q177" s="16"/>
      <c r="R177" s="16"/>
      <c r="S177" s="16"/>
      <c r="T177" s="16"/>
      <c r="U177" s="16"/>
      <c r="V177" s="16"/>
      <c r="W177" s="16"/>
      <c r="X177" s="16"/>
      <c r="Y177" s="16"/>
      <c r="Z177" s="17"/>
      <c r="AA177" s="59">
        <v>1</v>
      </c>
    </row>
    <row r="178" spans="1:27" s="59" customFormat="1" ht="38.25">
      <c r="A178" s="8"/>
      <c r="B178" s="11" t="str">
        <f>+IFERROR(VLOOKUP(C178,Listas!$L$8:$M$101,2,FALSE),"")</f>
        <v>10050101</v>
      </c>
      <c r="C178" s="335" t="s">
        <v>482</v>
      </c>
      <c r="D178" s="273"/>
      <c r="E178" s="274"/>
      <c r="F178" s="622"/>
      <c r="G178" s="401" t="s">
        <v>1354</v>
      </c>
      <c r="H178" s="32" t="str">
        <f>+IF(I178=""," ",VLOOKUP(I178,Listas!$I$12:$J$14,2,FALSE))</f>
        <v>06</v>
      </c>
      <c r="I178" s="343" t="s">
        <v>468</v>
      </c>
      <c r="J178" s="369">
        <f>+IF(K178=""," ",VLOOKUP(K178,PUC!$B:$C,2,FALSE))</f>
        <v>6210020502</v>
      </c>
      <c r="K178" s="343" t="s">
        <v>939</v>
      </c>
      <c r="L178" s="11" t="str">
        <f>+IF(M178=""," ",VLOOKUP(M178,Listas!$F$9:$G$17,2,FALSE))</f>
        <v>03</v>
      </c>
      <c r="M178" s="357" t="s">
        <v>446</v>
      </c>
      <c r="N178" s="346">
        <f>+MROUND(300*3300*3*AA177,1000)</f>
        <v>2970000</v>
      </c>
      <c r="O178" s="15"/>
      <c r="P178" s="16"/>
      <c r="Q178" s="16"/>
      <c r="R178" s="16"/>
      <c r="S178" s="16"/>
      <c r="T178" s="16"/>
      <c r="U178" s="16"/>
      <c r="V178" s="16"/>
      <c r="W178" s="16"/>
      <c r="X178" s="16"/>
      <c r="Y178" s="16"/>
      <c r="Z178" s="17"/>
    </row>
    <row r="179" spans="1:27" s="59" customFormat="1" ht="38.25">
      <c r="A179" s="8"/>
      <c r="B179" s="11" t="str">
        <f>+IFERROR(VLOOKUP(C179,Listas!$L$8:$M$101,2,FALSE),"")</f>
        <v>10050101</v>
      </c>
      <c r="C179" s="335" t="s">
        <v>482</v>
      </c>
      <c r="D179" s="273"/>
      <c r="E179" s="274"/>
      <c r="F179" s="622"/>
      <c r="G179" s="401" t="s">
        <v>1354</v>
      </c>
      <c r="H179" s="32" t="str">
        <f>+IF(I179=""," ",VLOOKUP(I179,Listas!$I$12:$J$14,2,FALSE))</f>
        <v>06</v>
      </c>
      <c r="I179" s="343" t="s">
        <v>468</v>
      </c>
      <c r="J179" s="369">
        <f>+IF(K179=""," ",VLOOKUP(K179,PUC!$B:$C,2,FALSE))</f>
        <v>6210100302</v>
      </c>
      <c r="K179" s="343" t="s">
        <v>941</v>
      </c>
      <c r="L179" s="11" t="str">
        <f>+IF(M179=""," ",VLOOKUP(M179,Listas!$F$9:$G$17,2,FALSE))</f>
        <v>03</v>
      </c>
      <c r="M179" s="357" t="s">
        <v>446</v>
      </c>
      <c r="N179" s="346">
        <f>+MROUND(800000*AA177,1000)</f>
        <v>800000</v>
      </c>
      <c r="O179" s="15"/>
      <c r="P179" s="16"/>
      <c r="Q179" s="16"/>
      <c r="R179" s="16"/>
      <c r="S179" s="16"/>
      <c r="T179" s="16"/>
      <c r="U179" s="16"/>
      <c r="V179" s="16"/>
      <c r="W179" s="16"/>
      <c r="X179" s="16"/>
      <c r="Y179" s="16"/>
      <c r="Z179" s="17"/>
    </row>
    <row r="180" spans="1:27" s="59" customFormat="1" ht="38.25">
      <c r="A180" s="8"/>
      <c r="B180" s="11" t="str">
        <f>+IFERROR(VLOOKUP(C180,Listas!$L$8:$M$101,2,FALSE),"")</f>
        <v>10050101</v>
      </c>
      <c r="C180" s="335" t="s">
        <v>482</v>
      </c>
      <c r="D180" s="273"/>
      <c r="E180" s="274"/>
      <c r="F180" s="622"/>
      <c r="G180" s="401"/>
      <c r="H180" s="32" t="str">
        <f>+IF(I180=""," ",VLOOKUP(I180,Listas!$I$12:$J$14,2,FALSE))</f>
        <v xml:space="preserve"> </v>
      </c>
      <c r="I180" s="343"/>
      <c r="J180" s="369" t="str">
        <f>+IF(K180=""," ",VLOOKUP(K180,PUC!$B:$C,2,FALSE))</f>
        <v xml:space="preserve"> </v>
      </c>
      <c r="K180" s="343"/>
      <c r="L180" s="11" t="str">
        <f>+IF(M180=""," ",VLOOKUP(M180,Listas!$F$9:$G$17,2,FALSE))</f>
        <v xml:space="preserve"> </v>
      </c>
      <c r="M180" s="357"/>
      <c r="N180" s="346"/>
      <c r="O180" s="15"/>
      <c r="P180" s="16"/>
      <c r="Q180" s="16"/>
      <c r="R180" s="16"/>
      <c r="S180" s="16"/>
      <c r="T180" s="16"/>
      <c r="U180" s="16"/>
      <c r="V180" s="16"/>
      <c r="W180" s="16"/>
      <c r="X180" s="16"/>
      <c r="Y180" s="16"/>
      <c r="Z180" s="17"/>
    </row>
    <row r="181" spans="1:27" s="59" customFormat="1" ht="38.25">
      <c r="A181" s="8"/>
      <c r="B181" s="11" t="str">
        <f>+IFERROR(VLOOKUP(C181,Listas!$L$8:$M$101,2,FALSE),"")</f>
        <v>10050101</v>
      </c>
      <c r="C181" s="335" t="s">
        <v>482</v>
      </c>
      <c r="D181" s="273"/>
      <c r="E181" s="274"/>
      <c r="F181" s="622"/>
      <c r="G181" s="401" t="s">
        <v>1157</v>
      </c>
      <c r="H181" s="32" t="str">
        <f>+IF(I181=""," ",VLOOKUP(I181,Listas!$I$12:$J$14,2,FALSE))</f>
        <v>06</v>
      </c>
      <c r="I181" s="343" t="s">
        <v>468</v>
      </c>
      <c r="J181" s="369">
        <f>+IF(K181=""," ",VLOOKUP(K181,PUC!$B:$C,2,FALSE))</f>
        <v>6210020504</v>
      </c>
      <c r="K181" s="343" t="s">
        <v>948</v>
      </c>
      <c r="L181" s="11" t="str">
        <f>+IF(M181=""," ",VLOOKUP(M181,Listas!$F$9:$G$17,2,FALSE))</f>
        <v>03</v>
      </c>
      <c r="M181" s="357" t="s">
        <v>446</v>
      </c>
      <c r="N181" s="346">
        <f>3000000*AA181</f>
        <v>0</v>
      </c>
      <c r="O181" s="15"/>
      <c r="P181" s="16"/>
      <c r="Q181" s="16"/>
      <c r="R181" s="16"/>
      <c r="S181" s="16"/>
      <c r="T181" s="16"/>
      <c r="U181" s="16"/>
      <c r="V181" s="16"/>
      <c r="W181" s="16"/>
      <c r="X181" s="16"/>
      <c r="Y181" s="16"/>
      <c r="Z181" s="17"/>
      <c r="AA181" s="59">
        <v>0</v>
      </c>
    </row>
    <row r="182" spans="1:27" s="59" customFormat="1" ht="38.25">
      <c r="A182" s="8"/>
      <c r="B182" s="11" t="str">
        <f>+IFERROR(VLOOKUP(C182,Listas!$L$8:$M$101,2,FALSE),"")</f>
        <v>10050101</v>
      </c>
      <c r="C182" s="335" t="s">
        <v>482</v>
      </c>
      <c r="D182" s="273"/>
      <c r="E182" s="274"/>
      <c r="F182" s="622"/>
      <c r="G182" s="401" t="s">
        <v>1157</v>
      </c>
      <c r="H182" s="32" t="str">
        <f>+IF(I182=""," ",VLOOKUP(I182,Listas!$I$12:$J$14,2,FALSE))</f>
        <v>06</v>
      </c>
      <c r="I182" s="343" t="s">
        <v>468</v>
      </c>
      <c r="J182" s="369">
        <f>+IF(K182=""," ",VLOOKUP(K182,PUC!$B:$C,2,FALSE))</f>
        <v>6210020502</v>
      </c>
      <c r="K182" s="343" t="s">
        <v>939</v>
      </c>
      <c r="L182" s="11" t="str">
        <f>+IF(M182=""," ",VLOOKUP(M182,Listas!$F$9:$G$17,2,FALSE))</f>
        <v>03</v>
      </c>
      <c r="M182" s="357" t="s">
        <v>446</v>
      </c>
      <c r="N182" s="346">
        <f>+MROUND(170*3300*3*AA181,1000)</f>
        <v>0</v>
      </c>
      <c r="O182" s="15"/>
      <c r="P182" s="16"/>
      <c r="Q182" s="16"/>
      <c r="R182" s="16"/>
      <c r="S182" s="16"/>
      <c r="T182" s="16"/>
      <c r="U182" s="16"/>
      <c r="V182" s="16"/>
      <c r="W182" s="16"/>
      <c r="X182" s="16"/>
      <c r="Y182" s="16"/>
      <c r="Z182" s="17"/>
    </row>
    <row r="183" spans="1:27" s="59" customFormat="1" ht="38.25">
      <c r="A183" s="8"/>
      <c r="B183" s="11" t="str">
        <f>+IFERROR(VLOOKUP(C183,Listas!$L$8:$M$101,2,FALSE),"")</f>
        <v>10050101</v>
      </c>
      <c r="C183" s="335" t="s">
        <v>482</v>
      </c>
      <c r="D183" s="273"/>
      <c r="E183" s="274"/>
      <c r="F183" s="622"/>
      <c r="G183" s="401" t="s">
        <v>1157</v>
      </c>
      <c r="H183" s="32" t="str">
        <f>+IF(I183=""," ",VLOOKUP(I183,Listas!$I$12:$J$14,2,FALSE))</f>
        <v>06</v>
      </c>
      <c r="I183" s="343" t="s">
        <v>468</v>
      </c>
      <c r="J183" s="369">
        <f>+IF(K183=""," ",VLOOKUP(K183,PUC!$B:$C,2,FALSE))</f>
        <v>6210022101</v>
      </c>
      <c r="K183" s="343" t="s">
        <v>942</v>
      </c>
      <c r="L183" s="11" t="str">
        <f>+IF(M183=""," ",VLOOKUP(M183,Listas!$F$9:$G$17,2,FALSE))</f>
        <v>03</v>
      </c>
      <c r="M183" s="357" t="s">
        <v>446</v>
      </c>
      <c r="N183" s="346">
        <f>+MROUND(800000*AA181,1000)</f>
        <v>0</v>
      </c>
      <c r="O183" s="15"/>
      <c r="P183" s="16"/>
      <c r="Q183" s="16"/>
      <c r="R183" s="16"/>
      <c r="S183" s="16"/>
      <c r="T183" s="16"/>
      <c r="U183" s="16"/>
      <c r="V183" s="16"/>
      <c r="W183" s="16"/>
      <c r="X183" s="16"/>
      <c r="Y183" s="16"/>
      <c r="Z183" s="17"/>
    </row>
    <row r="184" spans="1:27" s="59" customFormat="1" ht="38.25">
      <c r="A184" s="8"/>
      <c r="B184" s="11" t="str">
        <f>+IFERROR(VLOOKUP(C184,Listas!$L$8:$M$101,2,FALSE),"")</f>
        <v>10050101</v>
      </c>
      <c r="C184" s="335" t="s">
        <v>482</v>
      </c>
      <c r="D184" s="273"/>
      <c r="E184" s="274"/>
      <c r="F184" s="622"/>
      <c r="G184" s="401"/>
      <c r="H184" s="32" t="str">
        <f>+IF(I184=""," ",VLOOKUP(I184,Listas!$I$12:$J$14,2,FALSE))</f>
        <v xml:space="preserve"> </v>
      </c>
      <c r="I184" s="343"/>
      <c r="J184" s="369" t="str">
        <f>+IF(K184=""," ",VLOOKUP(K184,PUC!$B:$C,2,FALSE))</f>
        <v xml:space="preserve"> </v>
      </c>
      <c r="K184" s="343"/>
      <c r="L184" s="11" t="str">
        <f>+IF(M184=""," ",VLOOKUP(M184,Listas!$F$9:$G$17,2,FALSE))</f>
        <v xml:space="preserve"> </v>
      </c>
      <c r="M184" s="357"/>
      <c r="N184" s="346"/>
      <c r="O184" s="15"/>
      <c r="P184" s="16"/>
      <c r="Q184" s="16"/>
      <c r="R184" s="16"/>
      <c r="S184" s="16"/>
      <c r="T184" s="16"/>
      <c r="U184" s="16"/>
      <c r="V184" s="16"/>
      <c r="W184" s="16"/>
      <c r="X184" s="16"/>
      <c r="Y184" s="16"/>
      <c r="Z184" s="17"/>
    </row>
    <row r="185" spans="1:27" s="59" customFormat="1" ht="29.25" customHeight="1">
      <c r="A185" s="8"/>
      <c r="B185" s="11" t="str">
        <f>+IFERROR(VLOOKUP(C185,Listas!$L$8:$M$101,2,FALSE),"")</f>
        <v>10050101</v>
      </c>
      <c r="C185" s="335" t="s">
        <v>482</v>
      </c>
      <c r="D185" s="273"/>
      <c r="E185" s="274"/>
      <c r="F185" s="622"/>
      <c r="G185" s="403" t="s">
        <v>1145</v>
      </c>
      <c r="H185" s="404" t="str">
        <f>+IF(I185=""," ",VLOOKUP(I185,Listas!$I$12:$J$14,2,FALSE))</f>
        <v>06</v>
      </c>
      <c r="I185" s="405" t="s">
        <v>468</v>
      </c>
      <c r="J185" s="393">
        <f>+IF(K185=""," ",VLOOKUP(K185,PUC!$B:$C,2,FALSE))</f>
        <v>6210021103</v>
      </c>
      <c r="K185" s="405" t="s">
        <v>950</v>
      </c>
      <c r="L185" s="395" t="str">
        <f>+IF(M185=""," ",VLOOKUP(M185,Listas!$F$9:$G$17,2,FALSE))</f>
        <v>03</v>
      </c>
      <c r="M185" s="396" t="s">
        <v>446</v>
      </c>
      <c r="N185" s="397"/>
      <c r="O185" s="15"/>
      <c r="P185" s="16"/>
      <c r="Q185" s="16"/>
      <c r="R185" s="16"/>
      <c r="S185" s="16"/>
      <c r="T185" s="16"/>
      <c r="U185" s="16"/>
      <c r="V185" s="16"/>
      <c r="W185" s="16"/>
      <c r="X185" s="16"/>
      <c r="Y185" s="16"/>
      <c r="Z185" s="17"/>
    </row>
    <row r="186" spans="1:27" s="59" customFormat="1" ht="38.25">
      <c r="A186" s="8"/>
      <c r="B186" s="11" t="str">
        <f>+IFERROR(VLOOKUP(C186,Listas!$L$8:$M$101,2,FALSE),"")</f>
        <v>10050101</v>
      </c>
      <c r="C186" s="335" t="s">
        <v>482</v>
      </c>
      <c r="D186" s="273"/>
      <c r="E186" s="274"/>
      <c r="F186" s="623"/>
      <c r="G186" s="401" t="s">
        <v>1146</v>
      </c>
      <c r="H186" s="32" t="str">
        <f>+IF(I186=""," ",VLOOKUP(I186,Listas!$I$12:$J$14,2,FALSE))</f>
        <v xml:space="preserve"> </v>
      </c>
      <c r="I186" s="343"/>
      <c r="J186" s="369" t="str">
        <f>+IF(K186=""," ",VLOOKUP(K186,PUC!$B:$C,2,FALSE))</f>
        <v xml:space="preserve"> </v>
      </c>
      <c r="K186" s="343"/>
      <c r="L186" s="11" t="str">
        <f>+IF(M186=""," ",VLOOKUP(M186,Listas!$F$9:$G$17,2,FALSE))</f>
        <v xml:space="preserve"> </v>
      </c>
      <c r="M186" s="357"/>
      <c r="N186" s="346"/>
      <c r="O186" s="15"/>
      <c r="P186" s="16"/>
      <c r="Q186" s="16"/>
      <c r="R186" s="16"/>
      <c r="S186" s="16"/>
      <c r="T186" s="16"/>
      <c r="U186" s="16"/>
      <c r="V186" s="16"/>
      <c r="W186" s="16"/>
      <c r="X186" s="16"/>
      <c r="Y186" s="16"/>
      <c r="Z186" s="17"/>
    </row>
    <row r="187" spans="1:27" s="59" customFormat="1" ht="38.25">
      <c r="A187" s="8"/>
      <c r="B187" s="11" t="str">
        <f>+IFERROR(VLOOKUP(C187,Listas!$L$8:$M$101,2,FALSE),"")</f>
        <v>10050101</v>
      </c>
      <c r="C187" s="335" t="s">
        <v>482</v>
      </c>
      <c r="D187" s="273"/>
      <c r="E187" s="274"/>
      <c r="F187" s="585" t="s">
        <v>1147</v>
      </c>
      <c r="G187" s="401" t="s">
        <v>1148</v>
      </c>
      <c r="H187" s="32" t="str">
        <f>+IF(I187=""," ",VLOOKUP(I187,Listas!$I$12:$J$14,2,FALSE))</f>
        <v xml:space="preserve"> </v>
      </c>
      <c r="I187" s="343"/>
      <c r="J187" s="369" t="str">
        <f>+IF(K187=""," ",VLOOKUP(K187,PUC!$B:$C,2,FALSE))</f>
        <v xml:space="preserve"> </v>
      </c>
      <c r="K187" s="343"/>
      <c r="L187" s="11" t="str">
        <f>+IF(M187=""," ",VLOOKUP(M187,Listas!$F$9:$G$17,2,FALSE))</f>
        <v xml:space="preserve"> </v>
      </c>
      <c r="M187" s="357"/>
      <c r="N187" s="346"/>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35" t="s">
        <v>482</v>
      </c>
      <c r="D188" s="273"/>
      <c r="E188" s="274"/>
      <c r="F188" s="584"/>
      <c r="G188" s="401" t="s">
        <v>1149</v>
      </c>
      <c r="H188" s="32" t="str">
        <f>+IF(I188=""," ",VLOOKUP(I188,Listas!$I$12:$J$14,2,FALSE))</f>
        <v xml:space="preserve"> </v>
      </c>
      <c r="I188" s="343"/>
      <c r="J188" s="369" t="str">
        <f>+IF(K188=""," ",VLOOKUP(K188,PUC!$B:$C,2,FALSE))</f>
        <v xml:space="preserve"> </v>
      </c>
      <c r="K188" s="343"/>
      <c r="L188" s="11" t="str">
        <f>+IF(M188=""," ",VLOOKUP(M188,Listas!$F$9:$G$17,2,FALSE))</f>
        <v xml:space="preserve"> </v>
      </c>
      <c r="M188" s="357"/>
      <c r="N188" s="346"/>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35" t="s">
        <v>482</v>
      </c>
      <c r="D189" s="273"/>
      <c r="E189" s="274"/>
      <c r="F189" s="621" t="s">
        <v>1150</v>
      </c>
      <c r="G189" s="401" t="s">
        <v>1151</v>
      </c>
      <c r="H189" s="32" t="str">
        <f>+IF(I189=""," ",VLOOKUP(I189,Listas!$I$12:$J$14,2,FALSE))</f>
        <v xml:space="preserve"> </v>
      </c>
      <c r="I189" s="343"/>
      <c r="J189" s="369" t="str">
        <f>+IF(K189=""," ",VLOOKUP(K189,PUC!$B:$C,2,FALSE))</f>
        <v xml:space="preserve"> </v>
      </c>
      <c r="K189" s="343"/>
      <c r="L189" s="11" t="str">
        <f>+IF(M189=""," ",VLOOKUP(M189,Listas!$F$9:$G$17,2,FALSE))</f>
        <v xml:space="preserve"> </v>
      </c>
      <c r="M189" s="357"/>
      <c r="N189" s="346"/>
      <c r="O189" s="15"/>
      <c r="P189" s="16"/>
      <c r="Q189" s="16"/>
      <c r="R189" s="16"/>
      <c r="S189" s="16"/>
      <c r="T189" s="16"/>
      <c r="U189" s="16"/>
      <c r="V189" s="16"/>
      <c r="W189" s="16"/>
      <c r="X189" s="16"/>
      <c r="Y189" s="16"/>
      <c r="Z189" s="17"/>
    </row>
    <row r="190" spans="1:27" s="59" customFormat="1" ht="38.25">
      <c r="A190" s="8"/>
      <c r="B190" s="11" t="str">
        <f>+IFERROR(VLOOKUP(C190,Listas!$L$8:$M$101,2,FALSE),"")</f>
        <v>10050101</v>
      </c>
      <c r="C190" s="335" t="s">
        <v>482</v>
      </c>
      <c r="D190" s="273"/>
      <c r="E190" s="274"/>
      <c r="F190" s="622"/>
      <c r="G190" s="401" t="s">
        <v>1158</v>
      </c>
      <c r="H190" s="32" t="str">
        <f>+IF(I190=""," ",VLOOKUP(I190,Listas!$I$12:$J$14,2,FALSE))</f>
        <v>05</v>
      </c>
      <c r="I190" s="343" t="s">
        <v>467</v>
      </c>
      <c r="J190" s="369">
        <f>+IF(K190=""," ",VLOOKUP(K190,PUC!$B:$C,2,FALSE))</f>
        <v>6210021401</v>
      </c>
      <c r="K190" s="343" t="s">
        <v>712</v>
      </c>
      <c r="L190" s="11" t="str">
        <f>+IF(M190=""," ",VLOOKUP(M190,Listas!$F$9:$G$17,2,FALSE))</f>
        <v>03</v>
      </c>
      <c r="M190" s="357" t="s">
        <v>446</v>
      </c>
      <c r="N190" s="346">
        <v>1000000</v>
      </c>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35" t="s">
        <v>482</v>
      </c>
      <c r="D191" s="273"/>
      <c r="E191" s="274"/>
      <c r="F191" s="622"/>
      <c r="G191" s="401" t="s">
        <v>1158</v>
      </c>
      <c r="H191" s="32" t="str">
        <f>+IF(I191=""," ",VLOOKUP(I191,Listas!$I$12:$J$14,2,FALSE))</f>
        <v>05</v>
      </c>
      <c r="I191" s="343" t="s">
        <v>467</v>
      </c>
      <c r="J191" s="369">
        <f>+IF(K191=""," ",VLOOKUP(K191,PUC!$B:$C,2,FALSE))</f>
        <v>6210020505</v>
      </c>
      <c r="K191" s="343" t="s">
        <v>649</v>
      </c>
      <c r="L191" s="11" t="str">
        <f>+IF(M191=""," ",VLOOKUP(M191,Listas!$F$9:$G$17,2,FALSE))</f>
        <v>03</v>
      </c>
      <c r="M191" s="357" t="s">
        <v>446</v>
      </c>
      <c r="N191" s="346">
        <v>1200000</v>
      </c>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35" t="s">
        <v>482</v>
      </c>
      <c r="D192" s="273"/>
      <c r="E192" s="274"/>
      <c r="F192" s="622"/>
      <c r="G192" s="401" t="s">
        <v>1158</v>
      </c>
      <c r="H192" s="32" t="str">
        <f>+IF(I192=""," ",VLOOKUP(I192,Listas!$I$12:$J$14,2,FALSE))</f>
        <v>05</v>
      </c>
      <c r="I192" s="343" t="s">
        <v>467</v>
      </c>
      <c r="J192" s="369">
        <f>+IF(K192=""," ",VLOOKUP(K192,PUC!$B:$C,2,FALSE))</f>
        <v>6210020501</v>
      </c>
      <c r="K192" s="343" t="s">
        <v>648</v>
      </c>
      <c r="L192" s="11" t="str">
        <f>+IF(M192=""," ",VLOOKUP(M192,Listas!$F$9:$G$17,2,FALSE))</f>
        <v>03</v>
      </c>
      <c r="M192" s="357" t="s">
        <v>446</v>
      </c>
      <c r="N192" s="346">
        <v>500000</v>
      </c>
      <c r="O192" s="15"/>
      <c r="P192" s="16"/>
      <c r="Q192" s="16"/>
      <c r="R192" s="16"/>
      <c r="S192" s="16"/>
      <c r="T192" s="16"/>
      <c r="U192" s="16"/>
      <c r="V192" s="16"/>
      <c r="W192" s="16"/>
      <c r="X192" s="16"/>
      <c r="Y192" s="16"/>
      <c r="Z192" s="17"/>
    </row>
    <row r="193" spans="1:26" s="59" customFormat="1" ht="38.25">
      <c r="A193" s="8"/>
      <c r="B193" s="11" t="str">
        <f>+IFERROR(VLOOKUP(C193,Listas!$L$8:$M$101,2,FALSE),"")</f>
        <v>10050101</v>
      </c>
      <c r="C193" s="335" t="s">
        <v>482</v>
      </c>
      <c r="D193" s="273"/>
      <c r="E193" s="274"/>
      <c r="F193" s="623"/>
      <c r="G193" s="401" t="s">
        <v>1158</v>
      </c>
      <c r="H193" s="32" t="str">
        <f>+IF(I193=""," ",VLOOKUP(I193,Listas!$I$12:$J$14,2,FALSE))</f>
        <v>06</v>
      </c>
      <c r="I193" s="343" t="s">
        <v>468</v>
      </c>
      <c r="J193" s="369">
        <f>+IF(K193=""," ",VLOOKUP(K193,PUC!$B:$C,2,FALSE))</f>
        <v>6210022101</v>
      </c>
      <c r="K193" s="343" t="s">
        <v>942</v>
      </c>
      <c r="L193" s="11" t="str">
        <f>+IF(M193=""," ",VLOOKUP(M193,Listas!$F$9:$G$17,2,FALSE))</f>
        <v>03</v>
      </c>
      <c r="M193" s="357" t="s">
        <v>446</v>
      </c>
      <c r="N193" s="346">
        <v>1000000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35" t="s">
        <v>482</v>
      </c>
      <c r="D194" s="273"/>
      <c r="E194" s="274"/>
      <c r="F194" s="585" t="s">
        <v>1154</v>
      </c>
      <c r="G194" s="403" t="s">
        <v>1155</v>
      </c>
      <c r="H194" s="404" t="str">
        <f>+IF(I194=""," ",VLOOKUP(I194,Listas!$I$12:$J$14,2,FALSE))</f>
        <v>05</v>
      </c>
      <c r="I194" s="405" t="s">
        <v>467</v>
      </c>
      <c r="J194" s="393">
        <f>+IF(K194=""," ",VLOOKUP(K194,PUC!$B:$C,2,FALSE))</f>
        <v>6210020203</v>
      </c>
      <c r="K194" s="405" t="s">
        <v>656</v>
      </c>
      <c r="L194" s="395" t="str">
        <f>+IF(M194=""," ",VLOOKUP(M194,Listas!$F$9:$G$17,2,FALSE))</f>
        <v>03</v>
      </c>
      <c r="M194" s="396" t="s">
        <v>446</v>
      </c>
      <c r="N194" s="397">
        <v>0</v>
      </c>
      <c r="O194" s="15"/>
      <c r="P194" s="16"/>
      <c r="Q194" s="16"/>
      <c r="R194" s="16"/>
      <c r="S194" s="16"/>
      <c r="T194" s="16"/>
      <c r="U194" s="16"/>
      <c r="V194" s="16"/>
      <c r="W194" s="16"/>
      <c r="X194" s="16"/>
      <c r="Y194" s="16"/>
      <c r="Z194" s="17"/>
    </row>
    <row r="195" spans="1:26" s="59" customFormat="1" ht="38.25">
      <c r="A195" s="8"/>
      <c r="B195" s="11" t="str">
        <f>+IFERROR(VLOOKUP(C195,Listas!$L$8:$M$101,2,FALSE),"")</f>
        <v>10050101</v>
      </c>
      <c r="C195" s="335" t="s">
        <v>482</v>
      </c>
      <c r="D195" s="273"/>
      <c r="E195" s="274"/>
      <c r="F195" s="584"/>
      <c r="G195" s="401" t="s">
        <v>1156</v>
      </c>
      <c r="H195" s="32" t="str">
        <f>+IF(I195=""," ",VLOOKUP(I195,Listas!$I$12:$J$14,2,FALSE))</f>
        <v xml:space="preserve"> </v>
      </c>
      <c r="I195" s="343"/>
      <c r="J195" s="369" t="str">
        <f>+IF(K195=""," ",VLOOKUP(K195,PUC!$B:$C,2,FALSE))</f>
        <v xml:space="preserve"> </v>
      </c>
      <c r="K195" s="343"/>
      <c r="L195" s="11" t="str">
        <f>+IF(M195=""," ",VLOOKUP(M195,Listas!$F$9:$G$17,2,FALSE))</f>
        <v xml:space="preserve"> </v>
      </c>
      <c r="M195" s="357"/>
      <c r="N195" s="346"/>
      <c r="O195" s="15"/>
      <c r="P195" s="16"/>
      <c r="Q195" s="16"/>
      <c r="R195" s="16"/>
      <c r="S195" s="16"/>
      <c r="T195" s="16"/>
      <c r="U195" s="16"/>
      <c r="V195" s="16"/>
      <c r="W195" s="16"/>
      <c r="X195" s="16"/>
      <c r="Y195" s="16"/>
      <c r="Z195" s="17"/>
    </row>
    <row r="196" spans="1:26" s="59" customFormat="1" ht="39" thickBot="1">
      <c r="A196" s="8"/>
      <c r="B196" s="11" t="str">
        <f>+IFERROR(VLOOKUP(C196,Listas!$L$8:$M$101,2,FALSE),"")</f>
        <v>10050101</v>
      </c>
      <c r="C196" s="335" t="s">
        <v>482</v>
      </c>
      <c r="D196" s="273"/>
      <c r="E196" s="274"/>
      <c r="F196" s="273"/>
      <c r="G196" s="403" t="s">
        <v>1160</v>
      </c>
      <c r="H196" s="404" t="str">
        <f>+IF(I196=""," ",VLOOKUP(I196,Listas!$I$12:$J$14,2,FALSE))</f>
        <v>05</v>
      </c>
      <c r="I196" s="405" t="s">
        <v>467</v>
      </c>
      <c r="J196" s="393">
        <f>+IF(K196=""," ",VLOOKUP(K196,PUC!$B:$C,2,FALSE))</f>
        <v>6210020203</v>
      </c>
      <c r="K196" s="405" t="s">
        <v>656</v>
      </c>
      <c r="L196" s="395" t="str">
        <f>+IF(M196=""," ",VLOOKUP(M196,Listas!$F$9:$G$17,2,FALSE))</f>
        <v>03</v>
      </c>
      <c r="M196" s="396" t="s">
        <v>446</v>
      </c>
      <c r="N196" s="397"/>
      <c r="O196" s="15"/>
      <c r="P196" s="16"/>
      <c r="Q196" s="16"/>
      <c r="R196" s="16"/>
      <c r="S196" s="16"/>
      <c r="T196" s="16"/>
      <c r="U196" s="16"/>
      <c r="V196" s="16"/>
      <c r="W196" s="16"/>
      <c r="X196" s="16"/>
      <c r="Y196" s="16"/>
      <c r="Z196" s="17"/>
    </row>
    <row r="197" spans="1:26" s="59" customFormat="1" ht="29.25" hidden="1" customHeight="1">
      <c r="A197" s="8"/>
      <c r="B197" s="11" t="str">
        <f>+IFERROR(VLOOKUP(C197,Listas!$L$8:$M$101,2,FALSE),"")</f>
        <v>10050101</v>
      </c>
      <c r="C197" s="335" t="s">
        <v>482</v>
      </c>
      <c r="D197" s="273"/>
      <c r="E197" s="274"/>
      <c r="F197" s="621" t="s">
        <v>1152</v>
      </c>
      <c r="G197" s="401" t="s">
        <v>1153</v>
      </c>
      <c r="H197" s="32" t="str">
        <f>+IF(I197=""," ",VLOOKUP(I197,Listas!$I$12:$J$14,2,FALSE))</f>
        <v xml:space="preserve"> </v>
      </c>
      <c r="I197" s="343"/>
      <c r="J197" s="369" t="str">
        <f>+IF(K197=""," ",VLOOKUP(K197,PUC!$B:$C,2,FALSE))</f>
        <v xml:space="preserve"> </v>
      </c>
      <c r="K197" s="343"/>
      <c r="L197" s="11" t="str">
        <f>+IF(M197=""," ",VLOOKUP(M197,Listas!$F$9:$G$17,2,FALSE))</f>
        <v xml:space="preserve"> </v>
      </c>
      <c r="M197" s="357"/>
      <c r="N197" s="346"/>
      <c r="O197" s="15"/>
      <c r="P197" s="16"/>
      <c r="Q197" s="16"/>
      <c r="R197" s="16"/>
      <c r="S197" s="16"/>
      <c r="T197" s="16"/>
      <c r="U197" s="16"/>
      <c r="V197" s="16"/>
      <c r="W197" s="16"/>
      <c r="X197" s="16"/>
      <c r="Y197" s="16"/>
      <c r="Z197" s="17"/>
    </row>
    <row r="198" spans="1:26" s="59" customFormat="1" ht="29.25" hidden="1" customHeight="1">
      <c r="A198" s="8"/>
      <c r="B198" s="11" t="str">
        <f>+IFERROR(VLOOKUP(C198,Listas!$L$8:$M$101,2,FALSE),"")</f>
        <v>10050101</v>
      </c>
      <c r="C198" s="335" t="s">
        <v>482</v>
      </c>
      <c r="D198" s="273"/>
      <c r="E198" s="274"/>
      <c r="F198" s="622"/>
      <c r="G198" s="401" t="s">
        <v>1159</v>
      </c>
      <c r="H198" s="32" t="str">
        <f>+IF(I198=""," ",VLOOKUP(I198,Listas!$I$12:$J$14,2,FALSE))</f>
        <v>05</v>
      </c>
      <c r="I198" s="343" t="s">
        <v>467</v>
      </c>
      <c r="J198" s="369">
        <f>+IF(K198=""," ",VLOOKUP(K198,PUC!$B:$C,2,FALSE))</f>
        <v>6210021401</v>
      </c>
      <c r="K198" s="343" t="s">
        <v>712</v>
      </c>
      <c r="L198" s="11" t="str">
        <f>+IF(M198=""," ",VLOOKUP(M198,Listas!$F$9:$G$17,2,FALSE))</f>
        <v>03</v>
      </c>
      <c r="M198" s="357" t="s">
        <v>446</v>
      </c>
      <c r="N198" s="346"/>
      <c r="O198" s="15"/>
      <c r="P198" s="16"/>
      <c r="Q198" s="16"/>
      <c r="R198" s="16"/>
      <c r="S198" s="16"/>
      <c r="T198" s="16"/>
      <c r="U198" s="16"/>
      <c r="V198" s="16"/>
      <c r="W198" s="16"/>
      <c r="X198" s="16"/>
      <c r="Y198" s="16"/>
      <c r="Z198" s="17"/>
    </row>
    <row r="199" spans="1:26" s="59" customFormat="1" ht="29.25" hidden="1" customHeight="1">
      <c r="A199" s="8"/>
      <c r="B199" s="11" t="str">
        <f>+IFERROR(VLOOKUP(C199,Listas!$L$8:$M$101,2,FALSE),"")</f>
        <v>10050101</v>
      </c>
      <c r="C199" s="335" t="s">
        <v>482</v>
      </c>
      <c r="D199" s="273"/>
      <c r="E199" s="274"/>
      <c r="F199" s="622"/>
      <c r="G199" s="401" t="s">
        <v>1159</v>
      </c>
      <c r="H199" s="32" t="str">
        <f>+IF(I199=""," ",VLOOKUP(I199,Listas!$I$12:$J$14,2,FALSE))</f>
        <v>05</v>
      </c>
      <c r="I199" s="343" t="s">
        <v>467</v>
      </c>
      <c r="J199" s="369">
        <f>+IF(K199=""," ",VLOOKUP(K199,PUC!$B:$C,2,FALSE))</f>
        <v>6210020505</v>
      </c>
      <c r="K199" s="343" t="s">
        <v>649</v>
      </c>
      <c r="L199" s="11" t="str">
        <f>+IF(M199=""," ",VLOOKUP(M199,Listas!$F$9:$G$17,2,FALSE))</f>
        <v>03</v>
      </c>
      <c r="M199" s="357" t="s">
        <v>446</v>
      </c>
      <c r="N199" s="346"/>
      <c r="O199" s="15"/>
      <c r="P199" s="16"/>
      <c r="Q199" s="16"/>
      <c r="R199" s="16"/>
      <c r="S199" s="16"/>
      <c r="T199" s="16"/>
      <c r="U199" s="16"/>
      <c r="V199" s="16"/>
      <c r="W199" s="16"/>
      <c r="X199" s="16"/>
      <c r="Y199" s="16"/>
      <c r="Z199" s="17"/>
    </row>
    <row r="200" spans="1:26" s="59" customFormat="1" ht="29.25" hidden="1" customHeight="1">
      <c r="A200" s="8"/>
      <c r="B200" s="11" t="str">
        <f>+IFERROR(VLOOKUP(C200,Listas!$L$8:$M$101,2,FALSE),"")</f>
        <v>10050101</v>
      </c>
      <c r="C200" s="335" t="s">
        <v>482</v>
      </c>
      <c r="D200" s="273"/>
      <c r="E200" s="274"/>
      <c r="F200" s="622"/>
      <c r="G200" s="401" t="s">
        <v>1159</v>
      </c>
      <c r="H200" s="32" t="str">
        <f>+IF(I200=""," ",VLOOKUP(I200,Listas!$I$12:$J$14,2,FALSE))</f>
        <v>05</v>
      </c>
      <c r="I200" s="343" t="s">
        <v>467</v>
      </c>
      <c r="J200" s="369">
        <f>+IF(K200=""," ",VLOOKUP(K200,PUC!$B:$C,2,FALSE))</f>
        <v>6210020501</v>
      </c>
      <c r="K200" s="343" t="s">
        <v>648</v>
      </c>
      <c r="L200" s="11" t="str">
        <f>+IF(M200=""," ",VLOOKUP(M200,Listas!$F$9:$G$17,2,FALSE))</f>
        <v>03</v>
      </c>
      <c r="M200" s="357" t="s">
        <v>446</v>
      </c>
      <c r="N200" s="346"/>
      <c r="O200" s="15"/>
      <c r="P200" s="16"/>
      <c r="Q200" s="16"/>
      <c r="R200" s="16"/>
      <c r="S200" s="16"/>
      <c r="T200" s="16"/>
      <c r="U200" s="16"/>
      <c r="V200" s="16"/>
      <c r="W200" s="16"/>
      <c r="X200" s="16"/>
      <c r="Y200" s="16"/>
      <c r="Z200" s="17"/>
    </row>
    <row r="201" spans="1:26" s="59" customFormat="1" ht="29.25" hidden="1" customHeight="1">
      <c r="A201" s="8"/>
      <c r="B201" s="11" t="str">
        <f>+IFERROR(VLOOKUP(C201,Listas!$L$8:$M$101,2,FALSE),"")</f>
        <v>10050101</v>
      </c>
      <c r="C201" s="335" t="s">
        <v>482</v>
      </c>
      <c r="D201" s="273"/>
      <c r="E201" s="274"/>
      <c r="F201" s="622"/>
      <c r="G201" s="401" t="s">
        <v>1159</v>
      </c>
      <c r="H201" s="32" t="str">
        <f>+IF(I201=""," ",VLOOKUP(I201,Listas!$I$12:$J$14,2,FALSE))</f>
        <v>05</v>
      </c>
      <c r="I201" s="343" t="s">
        <v>467</v>
      </c>
      <c r="J201" s="369">
        <f>+IF(K201=""," ",VLOOKUP(K201,PUC!$B:$C,2,FALSE))</f>
        <v>6210020101</v>
      </c>
      <c r="K201" s="343" t="s">
        <v>640</v>
      </c>
      <c r="L201" s="11" t="str">
        <f>+IF(M201=""," ",VLOOKUP(M201,Listas!$F$9:$G$17,2,FALSE))</f>
        <v>03</v>
      </c>
      <c r="M201" s="357" t="s">
        <v>446</v>
      </c>
      <c r="N201" s="346"/>
      <c r="O201" s="15"/>
      <c r="P201" s="16"/>
      <c r="Q201" s="16"/>
      <c r="R201" s="16"/>
      <c r="S201" s="16"/>
      <c r="T201" s="16"/>
      <c r="U201" s="16"/>
      <c r="V201" s="16"/>
      <c r="W201" s="16"/>
      <c r="X201" s="16"/>
      <c r="Y201" s="16"/>
      <c r="Z201" s="17"/>
    </row>
    <row r="202" spans="1:26" s="59" customFormat="1" ht="29.25" hidden="1" customHeight="1">
      <c r="A202" s="8"/>
      <c r="B202" s="11" t="str">
        <f>+IFERROR(VLOOKUP(C202,Listas!$L$8:$M$101,2,FALSE),"")</f>
        <v>10050101</v>
      </c>
      <c r="C202" s="335" t="s">
        <v>482</v>
      </c>
      <c r="D202" s="273"/>
      <c r="E202" s="274"/>
      <c r="F202" s="622"/>
      <c r="G202" s="401" t="s">
        <v>1159</v>
      </c>
      <c r="H202" s="32" t="str">
        <f>+IF(I202=""," ",VLOOKUP(I202,Listas!$I$12:$J$14,2,FALSE))</f>
        <v>05</v>
      </c>
      <c r="I202" s="343" t="s">
        <v>467</v>
      </c>
      <c r="J202" s="369">
        <f>+IF(K202=""," ",VLOOKUP(K202,PUC!$B:$C,2,FALSE))</f>
        <v>6210020503</v>
      </c>
      <c r="K202" s="343" t="s">
        <v>650</v>
      </c>
      <c r="L202" s="11" t="str">
        <f>+IF(M202=""," ",VLOOKUP(M202,Listas!$F$9:$G$17,2,FALSE))</f>
        <v>03</v>
      </c>
      <c r="M202" s="357" t="s">
        <v>446</v>
      </c>
      <c r="N202" s="346"/>
      <c r="O202" s="15"/>
      <c r="P202" s="16"/>
      <c r="Q202" s="16"/>
      <c r="R202" s="16"/>
      <c r="S202" s="16"/>
      <c r="T202" s="16"/>
      <c r="U202" s="16"/>
      <c r="V202" s="16"/>
      <c r="W202" s="16"/>
      <c r="X202" s="16"/>
      <c r="Y202" s="16"/>
      <c r="Z202" s="17"/>
    </row>
    <row r="203" spans="1:26" s="59" customFormat="1" ht="29.25" hidden="1" customHeight="1">
      <c r="A203" s="8"/>
      <c r="B203" s="11" t="str">
        <f>+IFERROR(VLOOKUP(C203,Listas!$L$8:$M$101,2,FALSE),"")</f>
        <v>10050101</v>
      </c>
      <c r="C203" s="335" t="s">
        <v>482</v>
      </c>
      <c r="D203" s="273"/>
      <c r="E203" s="274"/>
      <c r="F203" s="623"/>
      <c r="G203" s="401" t="s">
        <v>1159</v>
      </c>
      <c r="H203" s="32" t="str">
        <f>+IF(I203=""," ",VLOOKUP(I203,Listas!$I$12:$J$14,2,FALSE))</f>
        <v>05</v>
      </c>
      <c r="I203" s="343" t="s">
        <v>467</v>
      </c>
      <c r="J203" s="369">
        <f>+IF(K203=""," ",VLOOKUP(K203,PUC!$B:$C,2,FALSE))</f>
        <v>6210022001</v>
      </c>
      <c r="K203" s="343" t="s">
        <v>646</v>
      </c>
      <c r="L203" s="11" t="str">
        <f>+IF(M203=""," ",VLOOKUP(M203,Listas!$F$9:$G$17,2,FALSE))</f>
        <v>03</v>
      </c>
      <c r="M203" s="357" t="s">
        <v>446</v>
      </c>
      <c r="N203" s="346"/>
      <c r="O203" s="15"/>
      <c r="P203" s="16"/>
      <c r="Q203" s="16"/>
      <c r="R203" s="16"/>
      <c r="S203" s="16"/>
      <c r="T203" s="16"/>
      <c r="U203" s="16"/>
      <c r="V203" s="16"/>
      <c r="W203" s="16"/>
      <c r="X203" s="16"/>
      <c r="Y203" s="16"/>
      <c r="Z203" s="17"/>
    </row>
    <row r="204" spans="1:26" s="59" customFormat="1" ht="29.25" hidden="1" customHeight="1">
      <c r="A204" s="8"/>
      <c r="B204" s="11" t="str">
        <f>+IFERROR(VLOOKUP(C204,Listas!$L$8:$M$101,2,FALSE),"")</f>
        <v>10050101</v>
      </c>
      <c r="C204" s="335" t="s">
        <v>482</v>
      </c>
      <c r="D204" s="273"/>
      <c r="E204" s="274"/>
      <c r="F204" s="621" t="s">
        <v>1152</v>
      </c>
      <c r="G204" s="401" t="s">
        <v>1153</v>
      </c>
      <c r="H204" s="32" t="str">
        <f>+IF(I204=""," ",VLOOKUP(I204,Listas!$I$12:$J$14,2,FALSE))</f>
        <v xml:space="preserve"> </v>
      </c>
      <c r="I204" s="343"/>
      <c r="J204" s="369" t="str">
        <f>+IF(K204=""," ",VLOOKUP(K204,PUC!$B:$C,2,FALSE))</f>
        <v xml:space="preserve"> </v>
      </c>
      <c r="K204" s="343"/>
      <c r="L204" s="11" t="str">
        <f>+IF(M204=""," ",VLOOKUP(M204,Listas!$F$9:$G$17,2,FALSE))</f>
        <v xml:space="preserve"> </v>
      </c>
      <c r="M204" s="357"/>
      <c r="N204" s="346"/>
      <c r="O204" s="15"/>
      <c r="P204" s="16"/>
      <c r="Q204" s="16"/>
      <c r="R204" s="16"/>
      <c r="S204" s="16"/>
      <c r="T204" s="16"/>
      <c r="U204" s="16"/>
      <c r="V204" s="16"/>
      <c r="W204" s="16"/>
      <c r="X204" s="16"/>
      <c r="Y204" s="16"/>
      <c r="Z204" s="17"/>
    </row>
    <row r="205" spans="1:26" s="59" customFormat="1" ht="29.25" hidden="1" customHeight="1">
      <c r="A205" s="8"/>
      <c r="B205" s="11" t="str">
        <f>+IFERROR(VLOOKUP(C205,Listas!$L$8:$M$101,2,FALSE),"")</f>
        <v>10050101</v>
      </c>
      <c r="C205" s="335" t="s">
        <v>482</v>
      </c>
      <c r="D205" s="273"/>
      <c r="E205" s="274"/>
      <c r="F205" s="622"/>
      <c r="G205" s="401" t="s">
        <v>1159</v>
      </c>
      <c r="H205" s="32" t="str">
        <f>+IF(I205=""," ",VLOOKUP(I205,Listas!$I$12:$J$14,2,FALSE))</f>
        <v>05</v>
      </c>
      <c r="I205" s="343" t="s">
        <v>467</v>
      </c>
      <c r="J205" s="369">
        <f>+IF(K205=""," ",VLOOKUP(K205,PUC!$B:$C,2,FALSE))</f>
        <v>6210021401</v>
      </c>
      <c r="K205" s="343" t="s">
        <v>712</v>
      </c>
      <c r="L205" s="11" t="str">
        <f>+IF(M205=""," ",VLOOKUP(M205,Listas!$F$9:$G$17,2,FALSE))</f>
        <v>03</v>
      </c>
      <c r="M205" s="357" t="s">
        <v>446</v>
      </c>
      <c r="N205" s="346"/>
      <c r="O205" s="15"/>
      <c r="P205" s="16"/>
      <c r="Q205" s="16"/>
      <c r="R205" s="16"/>
      <c r="S205" s="16"/>
      <c r="T205" s="16"/>
      <c r="U205" s="16"/>
      <c r="V205" s="16"/>
      <c r="W205" s="16"/>
      <c r="X205" s="16"/>
      <c r="Y205" s="16"/>
      <c r="Z205" s="17"/>
    </row>
    <row r="206" spans="1:26" s="59" customFormat="1" ht="29.25" hidden="1" customHeight="1">
      <c r="A206" s="8"/>
      <c r="B206" s="11" t="str">
        <f>+IFERROR(VLOOKUP(C206,Listas!$L$8:$M$101,2,FALSE),"")</f>
        <v>10050101</v>
      </c>
      <c r="C206" s="335" t="s">
        <v>482</v>
      </c>
      <c r="D206" s="273"/>
      <c r="E206" s="274"/>
      <c r="F206" s="622"/>
      <c r="G206" s="401" t="s">
        <v>1159</v>
      </c>
      <c r="H206" s="32" t="str">
        <f>+IF(I206=""," ",VLOOKUP(I206,Listas!$I$12:$J$14,2,FALSE))</f>
        <v>05</v>
      </c>
      <c r="I206" s="343" t="s">
        <v>467</v>
      </c>
      <c r="J206" s="369">
        <f>+IF(K206=""," ",VLOOKUP(K206,PUC!$B:$C,2,FALSE))</f>
        <v>6210020505</v>
      </c>
      <c r="K206" s="343" t="s">
        <v>649</v>
      </c>
      <c r="L206" s="11" t="str">
        <f>+IF(M206=""," ",VLOOKUP(M206,Listas!$F$9:$G$17,2,FALSE))</f>
        <v>03</v>
      </c>
      <c r="M206" s="357" t="s">
        <v>446</v>
      </c>
      <c r="N206" s="346"/>
      <c r="O206" s="15"/>
      <c r="P206" s="16"/>
      <c r="Q206" s="16"/>
      <c r="R206" s="16"/>
      <c r="S206" s="16"/>
      <c r="T206" s="16"/>
      <c r="U206" s="16"/>
      <c r="V206" s="16"/>
      <c r="W206" s="16"/>
      <c r="X206" s="16"/>
      <c r="Y206" s="16"/>
      <c r="Z206" s="17"/>
    </row>
    <row r="207" spans="1:26" s="59" customFormat="1" ht="29.25" hidden="1" customHeight="1">
      <c r="A207" s="8"/>
      <c r="B207" s="11" t="str">
        <f>+IFERROR(VLOOKUP(C207,Listas!$L$8:$M$101,2,FALSE),"")</f>
        <v>10050101</v>
      </c>
      <c r="C207" s="335" t="s">
        <v>482</v>
      </c>
      <c r="D207" s="273"/>
      <c r="E207" s="274"/>
      <c r="F207" s="622"/>
      <c r="G207" s="401" t="s">
        <v>1159</v>
      </c>
      <c r="H207" s="32" t="str">
        <f>+IF(I207=""," ",VLOOKUP(I207,Listas!$I$12:$J$14,2,FALSE))</f>
        <v>05</v>
      </c>
      <c r="I207" s="343" t="s">
        <v>467</v>
      </c>
      <c r="J207" s="369">
        <f>+IF(K207=""," ",VLOOKUP(K207,PUC!$B:$C,2,FALSE))</f>
        <v>6210020501</v>
      </c>
      <c r="K207" s="343" t="s">
        <v>648</v>
      </c>
      <c r="L207" s="11" t="str">
        <f>+IF(M207=""," ",VLOOKUP(M207,Listas!$F$9:$G$17,2,FALSE))</f>
        <v>03</v>
      </c>
      <c r="M207" s="357" t="s">
        <v>446</v>
      </c>
      <c r="N207" s="346"/>
      <c r="O207" s="15"/>
      <c r="P207" s="16"/>
      <c r="Q207" s="16"/>
      <c r="R207" s="16"/>
      <c r="S207" s="16"/>
      <c r="T207" s="16"/>
      <c r="U207" s="16"/>
      <c r="V207" s="16"/>
      <c r="W207" s="16"/>
      <c r="X207" s="16"/>
      <c r="Y207" s="16"/>
      <c r="Z207" s="17"/>
    </row>
    <row r="208" spans="1:26" s="59" customFormat="1" ht="29.25" hidden="1" customHeight="1">
      <c r="A208" s="8"/>
      <c r="B208" s="11" t="str">
        <f>+IFERROR(VLOOKUP(C208,Listas!$L$8:$M$101,2,FALSE),"")</f>
        <v>10050101</v>
      </c>
      <c r="C208" s="335" t="s">
        <v>482</v>
      </c>
      <c r="D208" s="273"/>
      <c r="E208" s="274"/>
      <c r="F208" s="622"/>
      <c r="G208" s="401" t="s">
        <v>1159</v>
      </c>
      <c r="H208" s="32" t="str">
        <f>+IF(I208=""," ",VLOOKUP(I208,Listas!$I$12:$J$14,2,FALSE))</f>
        <v>05</v>
      </c>
      <c r="I208" s="343" t="s">
        <v>467</v>
      </c>
      <c r="J208" s="369">
        <f>+IF(K208=""," ",VLOOKUP(K208,PUC!$B:$C,2,FALSE))</f>
        <v>6210020101</v>
      </c>
      <c r="K208" s="343" t="s">
        <v>640</v>
      </c>
      <c r="L208" s="11" t="str">
        <f>+IF(M208=""," ",VLOOKUP(M208,Listas!$F$9:$G$17,2,FALSE))</f>
        <v>03</v>
      </c>
      <c r="M208" s="357" t="s">
        <v>446</v>
      </c>
      <c r="N208" s="346"/>
      <c r="O208" s="15"/>
      <c r="P208" s="16"/>
      <c r="Q208" s="16"/>
      <c r="R208" s="16"/>
      <c r="S208" s="16"/>
      <c r="T208" s="16"/>
      <c r="U208" s="16"/>
      <c r="V208" s="16"/>
      <c r="W208" s="16"/>
      <c r="X208" s="16"/>
      <c r="Y208" s="16"/>
      <c r="Z208" s="17"/>
    </row>
    <row r="209" spans="1:26" s="59" customFormat="1" ht="29.25" hidden="1" customHeight="1" thickBot="1">
      <c r="A209" s="8"/>
      <c r="B209" s="11" t="str">
        <f>+IFERROR(VLOOKUP(C209,Listas!$L$8:$M$101,2,FALSE),"")</f>
        <v>10050101</v>
      </c>
      <c r="C209" s="335" t="s">
        <v>482</v>
      </c>
      <c r="D209" s="273"/>
      <c r="E209" s="274"/>
      <c r="F209" s="622"/>
      <c r="G209" s="401" t="s">
        <v>1159</v>
      </c>
      <c r="H209" s="32" t="str">
        <f>+IF(I209=""," ",VLOOKUP(I209,Listas!$I$12:$J$14,2,FALSE))</f>
        <v>05</v>
      </c>
      <c r="I209" s="343" t="s">
        <v>467</v>
      </c>
      <c r="J209" s="369">
        <f>+IF(K209=""," ",VLOOKUP(K209,PUC!$B:$C,2,FALSE))</f>
        <v>6210020503</v>
      </c>
      <c r="K209" s="343" t="s">
        <v>650</v>
      </c>
      <c r="L209" s="11" t="str">
        <f>+IF(M209=""," ",VLOOKUP(M209,Listas!$F$9:$G$17,2,FALSE))</f>
        <v>03</v>
      </c>
      <c r="M209" s="357" t="s">
        <v>446</v>
      </c>
      <c r="N209" s="346"/>
      <c r="O209" s="23"/>
      <c r="P209" s="24"/>
      <c r="Q209" s="24"/>
      <c r="R209" s="24"/>
      <c r="S209" s="24"/>
      <c r="T209" s="24"/>
      <c r="U209" s="24"/>
      <c r="V209" s="24"/>
      <c r="W209" s="24"/>
      <c r="X209" s="24"/>
      <c r="Y209" s="24"/>
      <c r="Z209" s="25"/>
    </row>
    <row r="210" spans="1:26" s="59" customFormat="1" ht="29.25" hidden="1" customHeight="1">
      <c r="A210" s="8"/>
      <c r="B210" s="11" t="str">
        <f>+IFERROR(VLOOKUP(C210,Listas!$L$8:$M$101,2,FALSE),"")</f>
        <v>10050101</v>
      </c>
      <c r="C210" s="335" t="s">
        <v>482</v>
      </c>
      <c r="D210" s="273"/>
      <c r="E210" s="274"/>
      <c r="F210" s="623"/>
      <c r="G210" s="401" t="s">
        <v>1159</v>
      </c>
      <c r="H210" s="32" t="str">
        <f>+IF(I210=""," ",VLOOKUP(I210,Listas!$I$12:$J$14,2,FALSE))</f>
        <v>05</v>
      </c>
      <c r="I210" s="343" t="s">
        <v>467</v>
      </c>
      <c r="J210" s="369">
        <f>+IF(K210=""," ",VLOOKUP(K210,PUC!$B:$C,2,FALSE))</f>
        <v>6210022001</v>
      </c>
      <c r="K210" s="343" t="s">
        <v>646</v>
      </c>
      <c r="L210" s="11" t="str">
        <f>+IF(M210=""," ",VLOOKUP(M210,Listas!$F$9:$G$17,2,FALSE))</f>
        <v>03</v>
      </c>
      <c r="M210" s="357" t="s">
        <v>446</v>
      </c>
      <c r="N210" s="346"/>
      <c r="O210" s="12"/>
      <c r="P210" s="13"/>
      <c r="Q210" s="13"/>
      <c r="R210" s="13"/>
      <c r="S210" s="13"/>
      <c r="T210" s="13"/>
      <c r="U210" s="13"/>
      <c r="V210" s="13"/>
      <c r="W210" s="13"/>
      <c r="X210" s="13"/>
      <c r="Y210" s="13"/>
      <c r="Z210" s="14"/>
    </row>
    <row r="211" spans="1:26" s="59" customFormat="1" ht="29.25" hidden="1" customHeight="1">
      <c r="A211" s="8"/>
      <c r="B211" s="11" t="str">
        <f>+IFERROR(VLOOKUP(C211,Listas!$L$8:$M$101,2,FALSE),"")</f>
        <v>10050101</v>
      </c>
      <c r="C211" s="335" t="s">
        <v>482</v>
      </c>
      <c r="D211" s="273"/>
      <c r="E211" s="274"/>
      <c r="F211" s="621" t="s">
        <v>1152</v>
      </c>
      <c r="G211" s="401" t="s">
        <v>1153</v>
      </c>
      <c r="H211" s="32" t="str">
        <f>+IF(I211=""," ",VLOOKUP(I211,Listas!$I$12:$J$14,2,FALSE))</f>
        <v xml:space="preserve"> </v>
      </c>
      <c r="I211" s="343"/>
      <c r="J211" s="369" t="str">
        <f>+IF(K211=""," ",VLOOKUP(K211,PUC!$B:$C,2,FALSE))</f>
        <v xml:space="preserve"> </v>
      </c>
      <c r="K211" s="343"/>
      <c r="L211" s="11" t="str">
        <f>+IF(M211=""," ",VLOOKUP(M211,Listas!$F$9:$G$17,2,FALSE))</f>
        <v xml:space="preserve"> </v>
      </c>
      <c r="M211" s="357"/>
      <c r="N211" s="346"/>
      <c r="O211" s="15"/>
      <c r="P211" s="16"/>
      <c r="Q211" s="16"/>
      <c r="R211" s="16"/>
      <c r="S211" s="16"/>
      <c r="T211" s="16"/>
      <c r="U211" s="16"/>
      <c r="V211" s="16"/>
      <c r="W211" s="16"/>
      <c r="X211" s="16"/>
      <c r="Y211" s="16"/>
      <c r="Z211" s="17"/>
    </row>
    <row r="212" spans="1:26" s="59" customFormat="1" ht="29.25" hidden="1" customHeight="1">
      <c r="A212" s="8"/>
      <c r="B212" s="11" t="str">
        <f>+IFERROR(VLOOKUP(C212,Listas!$L$8:$M$101,2,FALSE),"")</f>
        <v>10050101</v>
      </c>
      <c r="C212" s="335" t="s">
        <v>482</v>
      </c>
      <c r="D212" s="273"/>
      <c r="E212" s="274"/>
      <c r="F212" s="622"/>
      <c r="G212" s="401" t="s">
        <v>1159</v>
      </c>
      <c r="H212" s="32" t="str">
        <f>+IF(I212=""," ",VLOOKUP(I212,Listas!$I$12:$J$14,2,FALSE))</f>
        <v>05</v>
      </c>
      <c r="I212" s="343" t="s">
        <v>467</v>
      </c>
      <c r="J212" s="369">
        <f>+IF(K212=""," ",VLOOKUP(K212,PUC!$B:$C,2,FALSE))</f>
        <v>6210021401</v>
      </c>
      <c r="K212" s="343" t="s">
        <v>712</v>
      </c>
      <c r="L212" s="11" t="str">
        <f>+IF(M212=""," ",VLOOKUP(M212,Listas!$F$9:$G$17,2,FALSE))</f>
        <v>03</v>
      </c>
      <c r="M212" s="357" t="s">
        <v>446</v>
      </c>
      <c r="N212" s="346"/>
      <c r="O212" s="15"/>
      <c r="P212" s="16"/>
      <c r="Q212" s="16"/>
      <c r="R212" s="16"/>
      <c r="S212" s="16"/>
      <c r="T212" s="16"/>
      <c r="U212" s="16"/>
      <c r="V212" s="16"/>
      <c r="W212" s="16"/>
      <c r="X212" s="16"/>
      <c r="Y212" s="16"/>
      <c r="Z212" s="17"/>
    </row>
    <row r="213" spans="1:26" s="59" customFormat="1" ht="29.25" hidden="1" customHeight="1">
      <c r="A213" s="8"/>
      <c r="B213" s="11" t="str">
        <f>+IFERROR(VLOOKUP(C213,Listas!$L$8:$M$101,2,FALSE),"")</f>
        <v>10050101</v>
      </c>
      <c r="C213" s="335" t="s">
        <v>482</v>
      </c>
      <c r="D213" s="273"/>
      <c r="E213" s="274"/>
      <c r="F213" s="622"/>
      <c r="G213" s="401" t="s">
        <v>1159</v>
      </c>
      <c r="H213" s="32" t="str">
        <f>+IF(I213=""," ",VLOOKUP(I213,Listas!$I$12:$J$14,2,FALSE))</f>
        <v>05</v>
      </c>
      <c r="I213" s="343" t="s">
        <v>467</v>
      </c>
      <c r="J213" s="369">
        <f>+IF(K213=""," ",VLOOKUP(K213,PUC!$B:$C,2,FALSE))</f>
        <v>6210020505</v>
      </c>
      <c r="K213" s="343" t="s">
        <v>649</v>
      </c>
      <c r="L213" s="11" t="str">
        <f>+IF(M213=""," ",VLOOKUP(M213,Listas!$F$9:$G$17,2,FALSE))</f>
        <v>03</v>
      </c>
      <c r="M213" s="357" t="s">
        <v>446</v>
      </c>
      <c r="N213" s="346"/>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35" t="s">
        <v>482</v>
      </c>
      <c r="D214" s="273"/>
      <c r="E214" s="274"/>
      <c r="F214" s="622"/>
      <c r="G214" s="401" t="s">
        <v>1159</v>
      </c>
      <c r="H214" s="32" t="str">
        <f>+IF(I214=""," ",VLOOKUP(I214,Listas!$I$12:$J$14,2,FALSE))</f>
        <v>05</v>
      </c>
      <c r="I214" s="343" t="s">
        <v>467</v>
      </c>
      <c r="J214" s="369">
        <f>+IF(K214=""," ",VLOOKUP(K214,PUC!$B:$C,2,FALSE))</f>
        <v>6210020501</v>
      </c>
      <c r="K214" s="343" t="s">
        <v>648</v>
      </c>
      <c r="L214" s="11" t="str">
        <f>+IF(M214=""," ",VLOOKUP(M214,Listas!$F$9:$G$17,2,FALSE))</f>
        <v>03</v>
      </c>
      <c r="M214" s="357" t="s">
        <v>446</v>
      </c>
      <c r="N214" s="346"/>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35" t="s">
        <v>482</v>
      </c>
      <c r="D215" s="273"/>
      <c r="E215" s="274"/>
      <c r="F215" s="622"/>
      <c r="G215" s="401" t="s">
        <v>1159</v>
      </c>
      <c r="H215" s="32" t="str">
        <f>+IF(I215=""," ",VLOOKUP(I215,Listas!$I$12:$J$14,2,FALSE))</f>
        <v>05</v>
      </c>
      <c r="I215" s="343" t="s">
        <v>467</v>
      </c>
      <c r="J215" s="369">
        <f>+IF(K215=""," ",VLOOKUP(K215,PUC!$B:$C,2,FALSE))</f>
        <v>6210020101</v>
      </c>
      <c r="K215" s="343" t="s">
        <v>640</v>
      </c>
      <c r="L215" s="11" t="str">
        <f>+IF(M215=""," ",VLOOKUP(M215,Listas!$F$9:$G$17,2,FALSE))</f>
        <v>03</v>
      </c>
      <c r="M215" s="357" t="s">
        <v>446</v>
      </c>
      <c r="N215" s="346"/>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35" t="s">
        <v>482</v>
      </c>
      <c r="D216" s="273"/>
      <c r="E216" s="274"/>
      <c r="F216" s="622"/>
      <c r="G216" s="401" t="s">
        <v>1159</v>
      </c>
      <c r="H216" s="32" t="str">
        <f>+IF(I216=""," ",VLOOKUP(I216,Listas!$I$12:$J$14,2,FALSE))</f>
        <v>05</v>
      </c>
      <c r="I216" s="343" t="s">
        <v>467</v>
      </c>
      <c r="J216" s="369">
        <f>+IF(K216=""," ",VLOOKUP(K216,PUC!$B:$C,2,FALSE))</f>
        <v>6210020503</v>
      </c>
      <c r="K216" s="343" t="s">
        <v>650</v>
      </c>
      <c r="L216" s="11" t="str">
        <f>+IF(M216=""," ",VLOOKUP(M216,Listas!$F$9:$G$17,2,FALSE))</f>
        <v>03</v>
      </c>
      <c r="M216" s="357" t="s">
        <v>446</v>
      </c>
      <c r="N216" s="346"/>
      <c r="O216" s="15"/>
      <c r="P216" s="16"/>
      <c r="Q216" s="16"/>
      <c r="R216" s="16"/>
      <c r="S216" s="16"/>
      <c r="T216" s="16"/>
      <c r="U216" s="16"/>
      <c r="V216" s="16"/>
      <c r="W216" s="16"/>
      <c r="X216" s="16"/>
      <c r="Y216" s="16"/>
      <c r="Z216" s="17"/>
    </row>
    <row r="217" spans="1:26" s="59" customFormat="1" ht="29.25" hidden="1" customHeight="1">
      <c r="A217" s="8"/>
      <c r="B217" s="11" t="str">
        <f>+IFERROR(VLOOKUP(C217,Listas!$L$8:$M$101,2,FALSE),"")</f>
        <v>10050101</v>
      </c>
      <c r="C217" s="335" t="s">
        <v>482</v>
      </c>
      <c r="D217" s="273"/>
      <c r="E217" s="274"/>
      <c r="F217" s="623"/>
      <c r="G217" s="401" t="s">
        <v>1159</v>
      </c>
      <c r="H217" s="32" t="str">
        <f>+IF(I217=""," ",VLOOKUP(I217,Listas!$I$12:$J$14,2,FALSE))</f>
        <v>05</v>
      </c>
      <c r="I217" s="343" t="s">
        <v>467</v>
      </c>
      <c r="J217" s="369">
        <f>+IF(K217=""," ",VLOOKUP(K217,PUC!$B:$C,2,FALSE))</f>
        <v>6210022001</v>
      </c>
      <c r="K217" s="343" t="s">
        <v>646</v>
      </c>
      <c r="L217" s="11" t="str">
        <f>+IF(M217=""," ",VLOOKUP(M217,Listas!$F$9:$G$17,2,FALSE))</f>
        <v>03</v>
      </c>
      <c r="M217" s="357" t="s">
        <v>446</v>
      </c>
      <c r="N217" s="346"/>
      <c r="O217" s="15"/>
      <c r="P217" s="16"/>
      <c r="Q217" s="16"/>
      <c r="R217" s="16"/>
      <c r="S217" s="16"/>
      <c r="T217" s="16"/>
      <c r="U217" s="16"/>
      <c r="V217" s="16"/>
      <c r="W217" s="16"/>
      <c r="X217" s="16"/>
      <c r="Y217" s="16"/>
      <c r="Z217" s="17"/>
    </row>
    <row r="218" spans="1:26" s="59" customFormat="1" ht="29.25" hidden="1" customHeight="1">
      <c r="A218" s="8"/>
      <c r="B218" s="11" t="str">
        <f>+IFERROR(VLOOKUP(C218,Listas!$L$8:$M$101,2,FALSE),"")</f>
        <v>10050101</v>
      </c>
      <c r="C218" s="335" t="s">
        <v>482</v>
      </c>
      <c r="D218" s="273"/>
      <c r="E218" s="274"/>
      <c r="F218" s="621" t="s">
        <v>1152</v>
      </c>
      <c r="G218" s="401" t="s">
        <v>1153</v>
      </c>
      <c r="H218" s="32" t="str">
        <f>+IF(I218=""," ",VLOOKUP(I218,Listas!$I$12:$J$14,2,FALSE))</f>
        <v xml:space="preserve"> </v>
      </c>
      <c r="I218" s="343"/>
      <c r="J218" s="369" t="str">
        <f>+IF(K218=""," ",VLOOKUP(K218,PUC!$B:$C,2,FALSE))</f>
        <v xml:space="preserve"> </v>
      </c>
      <c r="K218" s="343"/>
      <c r="L218" s="11" t="str">
        <f>+IF(M218=""," ",VLOOKUP(M218,Listas!$F$9:$G$17,2,FALSE))</f>
        <v xml:space="preserve"> </v>
      </c>
      <c r="M218" s="357"/>
      <c r="N218" s="346"/>
      <c r="O218" s="15"/>
      <c r="P218" s="16"/>
      <c r="Q218" s="16"/>
      <c r="R218" s="16"/>
      <c r="S218" s="16"/>
      <c r="T218" s="16"/>
      <c r="U218" s="16"/>
      <c r="V218" s="16"/>
      <c r="W218" s="16"/>
      <c r="X218" s="16"/>
      <c r="Y218" s="16"/>
      <c r="Z218" s="17"/>
    </row>
    <row r="219" spans="1:26" s="59" customFormat="1" ht="29.25" hidden="1" customHeight="1">
      <c r="A219" s="8"/>
      <c r="B219" s="11" t="str">
        <f>+IFERROR(VLOOKUP(C219,Listas!$L$8:$M$101,2,FALSE),"")</f>
        <v>10050101</v>
      </c>
      <c r="C219" s="335" t="s">
        <v>482</v>
      </c>
      <c r="D219" s="273"/>
      <c r="E219" s="274"/>
      <c r="F219" s="622"/>
      <c r="G219" s="401" t="s">
        <v>1159</v>
      </c>
      <c r="H219" s="32" t="str">
        <f>+IF(I219=""," ",VLOOKUP(I219,Listas!$I$12:$J$14,2,FALSE))</f>
        <v>05</v>
      </c>
      <c r="I219" s="343" t="s">
        <v>467</v>
      </c>
      <c r="J219" s="369">
        <f>+IF(K219=""," ",VLOOKUP(K219,PUC!$B:$C,2,FALSE))</f>
        <v>6210021401</v>
      </c>
      <c r="K219" s="343" t="s">
        <v>712</v>
      </c>
      <c r="L219" s="11" t="str">
        <f>+IF(M219=""," ",VLOOKUP(M219,Listas!$F$9:$G$17,2,FALSE))</f>
        <v>03</v>
      </c>
      <c r="M219" s="357" t="s">
        <v>446</v>
      </c>
      <c r="N219" s="346"/>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35" t="s">
        <v>482</v>
      </c>
      <c r="D220" s="273"/>
      <c r="E220" s="274"/>
      <c r="F220" s="622"/>
      <c r="G220" s="401" t="s">
        <v>1159</v>
      </c>
      <c r="H220" s="32" t="str">
        <f>+IF(I220=""," ",VLOOKUP(I220,Listas!$I$12:$J$14,2,FALSE))</f>
        <v>05</v>
      </c>
      <c r="I220" s="343" t="s">
        <v>467</v>
      </c>
      <c r="J220" s="369">
        <f>+IF(K220=""," ",VLOOKUP(K220,PUC!$B:$C,2,FALSE))</f>
        <v>6210020505</v>
      </c>
      <c r="K220" s="343" t="s">
        <v>649</v>
      </c>
      <c r="L220" s="11" t="str">
        <f>+IF(M220=""," ",VLOOKUP(M220,Listas!$F$9:$G$17,2,FALSE))</f>
        <v>03</v>
      </c>
      <c r="M220" s="357" t="s">
        <v>446</v>
      </c>
      <c r="N220" s="346"/>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35" t="s">
        <v>482</v>
      </c>
      <c r="D221" s="273"/>
      <c r="E221" s="274"/>
      <c r="F221" s="622"/>
      <c r="G221" s="401" t="s">
        <v>1159</v>
      </c>
      <c r="H221" s="32" t="str">
        <f>+IF(I221=""," ",VLOOKUP(I221,Listas!$I$12:$J$14,2,FALSE))</f>
        <v>05</v>
      </c>
      <c r="I221" s="343" t="s">
        <v>467</v>
      </c>
      <c r="J221" s="369">
        <f>+IF(K221=""," ",VLOOKUP(K221,PUC!$B:$C,2,FALSE))</f>
        <v>6210020501</v>
      </c>
      <c r="K221" s="343" t="s">
        <v>648</v>
      </c>
      <c r="L221" s="11" t="str">
        <f>+IF(M221=""," ",VLOOKUP(M221,Listas!$F$9:$G$17,2,FALSE))</f>
        <v>03</v>
      </c>
      <c r="M221" s="357" t="s">
        <v>446</v>
      </c>
      <c r="N221" s="346"/>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35" t="s">
        <v>482</v>
      </c>
      <c r="D222" s="273"/>
      <c r="E222" s="274"/>
      <c r="F222" s="622"/>
      <c r="G222" s="401" t="s">
        <v>1159</v>
      </c>
      <c r="H222" s="32" t="str">
        <f>+IF(I222=""," ",VLOOKUP(I222,Listas!$I$12:$J$14,2,FALSE))</f>
        <v>05</v>
      </c>
      <c r="I222" s="343" t="s">
        <v>467</v>
      </c>
      <c r="J222" s="369">
        <f>+IF(K222=""," ",VLOOKUP(K222,PUC!$B:$C,2,FALSE))</f>
        <v>6210020101</v>
      </c>
      <c r="K222" s="343" t="s">
        <v>640</v>
      </c>
      <c r="L222" s="11" t="str">
        <f>+IF(M222=""," ",VLOOKUP(M222,Listas!$F$9:$G$17,2,FALSE))</f>
        <v>03</v>
      </c>
      <c r="M222" s="357" t="s">
        <v>446</v>
      </c>
      <c r="N222" s="346"/>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35" t="s">
        <v>482</v>
      </c>
      <c r="D223" s="273"/>
      <c r="E223" s="274"/>
      <c r="F223" s="622"/>
      <c r="G223" s="401" t="s">
        <v>1159</v>
      </c>
      <c r="H223" s="32" t="str">
        <f>+IF(I223=""," ",VLOOKUP(I223,Listas!$I$12:$J$14,2,FALSE))</f>
        <v>05</v>
      </c>
      <c r="I223" s="343" t="s">
        <v>467</v>
      </c>
      <c r="J223" s="369">
        <f>+IF(K223=""," ",VLOOKUP(K223,PUC!$B:$C,2,FALSE))</f>
        <v>6210020503</v>
      </c>
      <c r="K223" s="343" t="s">
        <v>650</v>
      </c>
      <c r="L223" s="11" t="str">
        <f>+IF(M223=""," ",VLOOKUP(M223,Listas!$F$9:$G$17,2,FALSE))</f>
        <v>03</v>
      </c>
      <c r="M223" s="357" t="s">
        <v>446</v>
      </c>
      <c r="N223" s="346"/>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35" t="s">
        <v>482</v>
      </c>
      <c r="D224" s="273"/>
      <c r="E224" s="274"/>
      <c r="F224" s="623"/>
      <c r="G224" s="401" t="s">
        <v>1159</v>
      </c>
      <c r="H224" s="32" t="str">
        <f>+IF(I224=""," ",VLOOKUP(I224,Listas!$I$12:$J$14,2,FALSE))</f>
        <v>05</v>
      </c>
      <c r="I224" s="343" t="s">
        <v>467</v>
      </c>
      <c r="J224" s="369">
        <f>+IF(K224=""," ",VLOOKUP(K224,PUC!$B:$C,2,FALSE))</f>
        <v>6210022001</v>
      </c>
      <c r="K224" s="343" t="s">
        <v>646</v>
      </c>
      <c r="L224" s="11" t="str">
        <f>+IF(M224=""," ",VLOOKUP(M224,Listas!$F$9:$G$17,2,FALSE))</f>
        <v>03</v>
      </c>
      <c r="M224" s="357" t="s">
        <v>446</v>
      </c>
      <c r="N224" s="346"/>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35" t="s">
        <v>482</v>
      </c>
      <c r="D225" s="273"/>
      <c r="E225" s="274"/>
      <c r="F225" s="621" t="s">
        <v>1152</v>
      </c>
      <c r="G225" s="401" t="s">
        <v>1153</v>
      </c>
      <c r="H225" s="32" t="str">
        <f>+IF(I225=""," ",VLOOKUP(I225,Listas!$I$12:$J$14,2,FALSE))</f>
        <v xml:space="preserve"> </v>
      </c>
      <c r="I225" s="343"/>
      <c r="J225" s="369" t="str">
        <f>+IF(K225=""," ",VLOOKUP(K225,PUC!$B:$C,2,FALSE))</f>
        <v xml:space="preserve"> </v>
      </c>
      <c r="K225" s="343"/>
      <c r="L225" s="11" t="str">
        <f>+IF(M225=""," ",VLOOKUP(M225,Listas!$F$9:$G$17,2,FALSE))</f>
        <v xml:space="preserve"> </v>
      </c>
      <c r="M225" s="357"/>
      <c r="N225" s="346"/>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35" t="s">
        <v>482</v>
      </c>
      <c r="D226" s="273"/>
      <c r="E226" s="274"/>
      <c r="F226" s="622"/>
      <c r="G226" s="401" t="s">
        <v>1159</v>
      </c>
      <c r="H226" s="32" t="str">
        <f>+IF(I226=""," ",VLOOKUP(I226,Listas!$I$12:$J$14,2,FALSE))</f>
        <v>05</v>
      </c>
      <c r="I226" s="343" t="s">
        <v>467</v>
      </c>
      <c r="J226" s="369">
        <f>+IF(K226=""," ",VLOOKUP(K226,PUC!$B:$C,2,FALSE))</f>
        <v>6210021401</v>
      </c>
      <c r="K226" s="343" t="s">
        <v>712</v>
      </c>
      <c r="L226" s="11" t="str">
        <f>+IF(M226=""," ",VLOOKUP(M226,Listas!$F$9:$G$17,2,FALSE))</f>
        <v>03</v>
      </c>
      <c r="M226" s="357" t="s">
        <v>446</v>
      </c>
      <c r="N226" s="346"/>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35" t="s">
        <v>482</v>
      </c>
      <c r="D227" s="273"/>
      <c r="E227" s="274"/>
      <c r="F227" s="622"/>
      <c r="G227" s="401" t="s">
        <v>1159</v>
      </c>
      <c r="H227" s="32" t="str">
        <f>+IF(I227=""," ",VLOOKUP(I227,Listas!$I$12:$J$14,2,FALSE))</f>
        <v>05</v>
      </c>
      <c r="I227" s="343" t="s">
        <v>467</v>
      </c>
      <c r="J227" s="369">
        <f>+IF(K227=""," ",VLOOKUP(K227,PUC!$B:$C,2,FALSE))</f>
        <v>6210020505</v>
      </c>
      <c r="K227" s="343" t="s">
        <v>649</v>
      </c>
      <c r="L227" s="11" t="str">
        <f>+IF(M227=""," ",VLOOKUP(M227,Listas!$F$9:$G$17,2,FALSE))</f>
        <v>03</v>
      </c>
      <c r="M227" s="357" t="s">
        <v>446</v>
      </c>
      <c r="N227" s="346"/>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35" t="s">
        <v>482</v>
      </c>
      <c r="D228" s="273"/>
      <c r="E228" s="274"/>
      <c r="F228" s="622"/>
      <c r="G228" s="401" t="s">
        <v>1159</v>
      </c>
      <c r="H228" s="32" t="str">
        <f>+IF(I228=""," ",VLOOKUP(I228,Listas!$I$12:$J$14,2,FALSE))</f>
        <v>05</v>
      </c>
      <c r="I228" s="343" t="s">
        <v>467</v>
      </c>
      <c r="J228" s="369">
        <f>+IF(K228=""," ",VLOOKUP(K228,PUC!$B:$C,2,FALSE))</f>
        <v>6210020501</v>
      </c>
      <c r="K228" s="343" t="s">
        <v>648</v>
      </c>
      <c r="L228" s="11" t="str">
        <f>+IF(M228=""," ",VLOOKUP(M228,Listas!$F$9:$G$17,2,FALSE))</f>
        <v>03</v>
      </c>
      <c r="M228" s="357" t="s">
        <v>446</v>
      </c>
      <c r="N228" s="346"/>
      <c r="O228" s="15"/>
      <c r="P228" s="16"/>
      <c r="Q228" s="16"/>
      <c r="R228" s="16"/>
      <c r="S228" s="16"/>
      <c r="T228" s="16"/>
      <c r="U228" s="16"/>
      <c r="V228" s="16"/>
      <c r="W228" s="16"/>
      <c r="X228" s="16"/>
      <c r="Y228" s="16"/>
      <c r="Z228" s="17"/>
    </row>
    <row r="229" spans="1:26" s="59" customFormat="1" ht="29.25" hidden="1" customHeight="1" thickBot="1">
      <c r="A229" s="8"/>
      <c r="B229" s="11" t="str">
        <f>+IFERROR(VLOOKUP(C229,Listas!$L$8:$M$101,2,FALSE),"")</f>
        <v>10050101</v>
      </c>
      <c r="C229" s="335" t="s">
        <v>482</v>
      </c>
      <c r="D229" s="273"/>
      <c r="E229" s="274"/>
      <c r="F229" s="622"/>
      <c r="G229" s="401" t="s">
        <v>1159</v>
      </c>
      <c r="H229" s="32" t="str">
        <f>+IF(I229=""," ",VLOOKUP(I229,Listas!$I$12:$J$14,2,FALSE))</f>
        <v>05</v>
      </c>
      <c r="I229" s="343" t="s">
        <v>467</v>
      </c>
      <c r="J229" s="369">
        <f>+IF(K229=""," ",VLOOKUP(K229,PUC!$B:$C,2,FALSE))</f>
        <v>6210020101</v>
      </c>
      <c r="K229" s="343" t="s">
        <v>640</v>
      </c>
      <c r="L229" s="11" t="str">
        <f>+IF(M229=""," ",VLOOKUP(M229,Listas!$F$9:$G$17,2,FALSE))</f>
        <v>03</v>
      </c>
      <c r="M229" s="357" t="s">
        <v>446</v>
      </c>
      <c r="N229" s="346"/>
      <c r="O229" s="15"/>
      <c r="P229" s="16"/>
      <c r="Q229" s="16"/>
      <c r="R229" s="16"/>
      <c r="S229" s="16"/>
      <c r="T229" s="16"/>
      <c r="U229" s="16"/>
      <c r="V229" s="16"/>
      <c r="W229" s="16"/>
      <c r="X229" s="16"/>
      <c r="Y229" s="16"/>
      <c r="Z229" s="17"/>
    </row>
    <row r="230" spans="1:26" s="59" customFormat="1" ht="29.25" hidden="1" customHeight="1">
      <c r="A230" s="8"/>
      <c r="B230" s="11" t="str">
        <f>+IFERROR(VLOOKUP(C230,Listas!$L$8:$M$101,2,FALSE),"")</f>
        <v>10050101</v>
      </c>
      <c r="C230" s="335" t="s">
        <v>482</v>
      </c>
      <c r="D230" s="273"/>
      <c r="E230" s="274"/>
      <c r="F230" s="622"/>
      <c r="G230" s="401" t="s">
        <v>1159</v>
      </c>
      <c r="H230" s="32" t="str">
        <f>+IF(I230=""," ",VLOOKUP(I230,Listas!$I$12:$J$14,2,FALSE))</f>
        <v>05</v>
      </c>
      <c r="I230" s="343" t="s">
        <v>467</v>
      </c>
      <c r="J230" s="369">
        <f>+IF(K230=""," ",VLOOKUP(K230,PUC!$B:$C,2,FALSE))</f>
        <v>6210020503</v>
      </c>
      <c r="K230" s="343" t="s">
        <v>650</v>
      </c>
      <c r="L230" s="11" t="str">
        <f>+IF(M230=""," ",VLOOKUP(M230,Listas!$F$9:$G$17,2,FALSE))</f>
        <v>03</v>
      </c>
      <c r="M230" s="357" t="s">
        <v>446</v>
      </c>
      <c r="N230" s="346"/>
      <c r="O230" s="12"/>
      <c r="P230" s="13"/>
      <c r="Q230" s="13"/>
      <c r="R230" s="13"/>
      <c r="S230" s="13"/>
      <c r="T230" s="13"/>
      <c r="U230" s="13"/>
      <c r="V230" s="13"/>
      <c r="W230" s="13"/>
      <c r="X230" s="13"/>
      <c r="Y230" s="13"/>
      <c r="Z230" s="14"/>
    </row>
    <row r="231" spans="1:26" s="59" customFormat="1" ht="29.25" hidden="1" customHeight="1">
      <c r="A231" s="8"/>
      <c r="B231" s="11" t="str">
        <f>+IFERROR(VLOOKUP(C231,Listas!$L$8:$M$101,2,FALSE),"")</f>
        <v>10050101</v>
      </c>
      <c r="C231" s="335" t="s">
        <v>482</v>
      </c>
      <c r="D231" s="273"/>
      <c r="E231" s="274"/>
      <c r="F231" s="623"/>
      <c r="G231" s="401" t="s">
        <v>1159</v>
      </c>
      <c r="H231" s="32" t="str">
        <f>+IF(I231=""," ",VLOOKUP(I231,Listas!$I$12:$J$14,2,FALSE))</f>
        <v>05</v>
      </c>
      <c r="I231" s="343" t="s">
        <v>467</v>
      </c>
      <c r="J231" s="369">
        <f>+IF(K231=""," ",VLOOKUP(K231,PUC!$B:$C,2,FALSE))</f>
        <v>6210022001</v>
      </c>
      <c r="K231" s="343" t="s">
        <v>646</v>
      </c>
      <c r="L231" s="11" t="str">
        <f>+IF(M231=""," ",VLOOKUP(M231,Listas!$F$9:$G$17,2,FALSE))</f>
        <v>03</v>
      </c>
      <c r="M231" s="357" t="s">
        <v>446</v>
      </c>
      <c r="N231" s="346"/>
      <c r="O231" s="15"/>
      <c r="P231" s="16"/>
      <c r="Q231" s="16"/>
      <c r="R231" s="16"/>
      <c r="S231" s="16"/>
      <c r="T231" s="16"/>
      <c r="U231" s="16"/>
      <c r="V231" s="16"/>
      <c r="W231" s="16"/>
      <c r="X231" s="16"/>
      <c r="Y231" s="16"/>
      <c r="Z231" s="17"/>
    </row>
    <row r="232" spans="1:26" s="59" customFormat="1" ht="29.25" hidden="1" customHeight="1">
      <c r="A232" s="8"/>
      <c r="B232" s="11" t="str">
        <f>+IFERROR(VLOOKUP(C232,Listas!$L$8:$M$101,2,FALSE),"")</f>
        <v>10050101</v>
      </c>
      <c r="C232" s="335" t="s">
        <v>482</v>
      </c>
      <c r="D232" s="273"/>
      <c r="E232" s="274"/>
      <c r="F232" s="621" t="s">
        <v>1152</v>
      </c>
      <c r="G232" s="401" t="s">
        <v>1153</v>
      </c>
      <c r="H232" s="32" t="str">
        <f>+IF(I232=""," ",VLOOKUP(I232,Listas!$I$12:$J$14,2,FALSE))</f>
        <v xml:space="preserve"> </v>
      </c>
      <c r="I232" s="343"/>
      <c r="J232" s="369" t="str">
        <f>+IF(K232=""," ",VLOOKUP(K232,PUC!$B:$C,2,FALSE))</f>
        <v xml:space="preserve"> </v>
      </c>
      <c r="K232" s="343"/>
      <c r="L232" s="11" t="str">
        <f>+IF(M232=""," ",VLOOKUP(M232,Listas!$F$9:$G$17,2,FALSE))</f>
        <v xml:space="preserve"> </v>
      </c>
      <c r="M232" s="357"/>
      <c r="N232" s="346"/>
      <c r="O232" s="15"/>
      <c r="P232" s="16"/>
      <c r="Q232" s="16"/>
      <c r="R232" s="16"/>
      <c r="S232" s="16"/>
      <c r="T232" s="16"/>
      <c r="U232" s="16"/>
      <c r="V232" s="16"/>
      <c r="W232" s="16"/>
      <c r="X232" s="16"/>
      <c r="Y232" s="16"/>
      <c r="Z232" s="17"/>
    </row>
    <row r="233" spans="1:26" s="59" customFormat="1" ht="29.25" hidden="1" customHeight="1">
      <c r="A233" s="8"/>
      <c r="B233" s="11" t="str">
        <f>+IFERROR(VLOOKUP(C233,Listas!$L$8:$M$101,2,FALSE),"")</f>
        <v>10050101</v>
      </c>
      <c r="C233" s="335" t="s">
        <v>482</v>
      </c>
      <c r="D233" s="273"/>
      <c r="E233" s="274"/>
      <c r="F233" s="622"/>
      <c r="G233" s="401" t="s">
        <v>1159</v>
      </c>
      <c r="H233" s="32" t="str">
        <f>+IF(I233=""," ",VLOOKUP(I233,Listas!$I$12:$J$14,2,FALSE))</f>
        <v>05</v>
      </c>
      <c r="I233" s="343" t="s">
        <v>467</v>
      </c>
      <c r="J233" s="369">
        <f>+IF(K233=""," ",VLOOKUP(K233,PUC!$B:$C,2,FALSE))</f>
        <v>6210021401</v>
      </c>
      <c r="K233" s="343" t="s">
        <v>712</v>
      </c>
      <c r="L233" s="11" t="str">
        <f>+IF(M233=""," ",VLOOKUP(M233,Listas!$F$9:$G$17,2,FALSE))</f>
        <v>03</v>
      </c>
      <c r="M233" s="357" t="s">
        <v>446</v>
      </c>
      <c r="N233" s="346"/>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35" t="s">
        <v>482</v>
      </c>
      <c r="D234" s="273"/>
      <c r="E234" s="274"/>
      <c r="F234" s="622"/>
      <c r="G234" s="401" t="s">
        <v>1159</v>
      </c>
      <c r="H234" s="32" t="str">
        <f>+IF(I234=""," ",VLOOKUP(I234,Listas!$I$12:$J$14,2,FALSE))</f>
        <v>05</v>
      </c>
      <c r="I234" s="343" t="s">
        <v>467</v>
      </c>
      <c r="J234" s="369">
        <f>+IF(K234=""," ",VLOOKUP(K234,PUC!$B:$C,2,FALSE))</f>
        <v>6210020505</v>
      </c>
      <c r="K234" s="343" t="s">
        <v>649</v>
      </c>
      <c r="L234" s="11" t="str">
        <f>+IF(M234=""," ",VLOOKUP(M234,Listas!$F$9:$G$17,2,FALSE))</f>
        <v>03</v>
      </c>
      <c r="M234" s="357" t="s">
        <v>446</v>
      </c>
      <c r="N234" s="346"/>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35" t="s">
        <v>482</v>
      </c>
      <c r="D235" s="273"/>
      <c r="E235" s="274"/>
      <c r="F235" s="622"/>
      <c r="G235" s="401" t="s">
        <v>1159</v>
      </c>
      <c r="H235" s="32" t="str">
        <f>+IF(I235=""," ",VLOOKUP(I235,Listas!$I$12:$J$14,2,FALSE))</f>
        <v>05</v>
      </c>
      <c r="I235" s="343" t="s">
        <v>467</v>
      </c>
      <c r="J235" s="369">
        <f>+IF(K235=""," ",VLOOKUP(K235,PUC!$B:$C,2,FALSE))</f>
        <v>6210020501</v>
      </c>
      <c r="K235" s="343" t="s">
        <v>648</v>
      </c>
      <c r="L235" s="11" t="str">
        <f>+IF(M235=""," ",VLOOKUP(M235,Listas!$F$9:$G$17,2,FALSE))</f>
        <v>03</v>
      </c>
      <c r="M235" s="357" t="s">
        <v>446</v>
      </c>
      <c r="N235" s="346"/>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35" t="s">
        <v>482</v>
      </c>
      <c r="D236" s="273"/>
      <c r="E236" s="274"/>
      <c r="F236" s="622"/>
      <c r="G236" s="401" t="s">
        <v>1159</v>
      </c>
      <c r="H236" s="32" t="str">
        <f>+IF(I236=""," ",VLOOKUP(I236,Listas!$I$12:$J$14,2,FALSE))</f>
        <v>05</v>
      </c>
      <c r="I236" s="343" t="s">
        <v>467</v>
      </c>
      <c r="J236" s="369">
        <f>+IF(K236=""," ",VLOOKUP(K236,PUC!$B:$C,2,FALSE))</f>
        <v>6210020101</v>
      </c>
      <c r="K236" s="343" t="s">
        <v>640</v>
      </c>
      <c r="L236" s="11" t="str">
        <f>+IF(M236=""," ",VLOOKUP(M236,Listas!$F$9:$G$17,2,FALSE))</f>
        <v>03</v>
      </c>
      <c r="M236" s="357" t="s">
        <v>446</v>
      </c>
      <c r="N236" s="346"/>
      <c r="O236" s="15"/>
      <c r="P236" s="16"/>
      <c r="Q236" s="16"/>
      <c r="R236" s="16"/>
      <c r="S236" s="16"/>
      <c r="T236" s="16"/>
      <c r="U236" s="16"/>
      <c r="V236" s="16"/>
      <c r="W236" s="16"/>
      <c r="X236" s="16"/>
      <c r="Y236" s="16"/>
      <c r="Z236" s="17"/>
    </row>
    <row r="237" spans="1:26" s="59" customFormat="1" ht="29.25" hidden="1" customHeight="1">
      <c r="A237" s="8"/>
      <c r="B237" s="11" t="str">
        <f>+IFERROR(VLOOKUP(C237,Listas!$L$8:$M$101,2,FALSE),"")</f>
        <v>10050101</v>
      </c>
      <c r="C237" s="335" t="s">
        <v>482</v>
      </c>
      <c r="D237" s="273"/>
      <c r="E237" s="274"/>
      <c r="F237" s="622"/>
      <c r="G237" s="401" t="s">
        <v>1159</v>
      </c>
      <c r="H237" s="32" t="str">
        <f>+IF(I237=""," ",VLOOKUP(I237,Listas!$I$12:$J$14,2,FALSE))</f>
        <v>05</v>
      </c>
      <c r="I237" s="343" t="s">
        <v>467</v>
      </c>
      <c r="J237" s="369">
        <f>+IF(K237=""," ",VLOOKUP(K237,PUC!$B:$C,2,FALSE))</f>
        <v>6210020503</v>
      </c>
      <c r="K237" s="343" t="s">
        <v>650</v>
      </c>
      <c r="L237" s="11" t="str">
        <f>+IF(M237=""," ",VLOOKUP(M237,Listas!$F$9:$G$17,2,FALSE))</f>
        <v>03</v>
      </c>
      <c r="M237" s="357" t="s">
        <v>446</v>
      </c>
      <c r="N237" s="346"/>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35" t="s">
        <v>482</v>
      </c>
      <c r="D238" s="273"/>
      <c r="E238" s="274"/>
      <c r="F238" s="623"/>
      <c r="G238" s="401" t="s">
        <v>1159</v>
      </c>
      <c r="H238" s="32" t="str">
        <f>+IF(I238=""," ",VLOOKUP(I238,Listas!$I$12:$J$14,2,FALSE))</f>
        <v>05</v>
      </c>
      <c r="I238" s="343" t="s">
        <v>467</v>
      </c>
      <c r="J238" s="369">
        <f>+IF(K238=""," ",VLOOKUP(K238,PUC!$B:$C,2,FALSE))</f>
        <v>6210022001</v>
      </c>
      <c r="K238" s="343" t="s">
        <v>646</v>
      </c>
      <c r="L238" s="11" t="str">
        <f>+IF(M238=""," ",VLOOKUP(M238,Listas!$F$9:$G$17,2,FALSE))</f>
        <v>03</v>
      </c>
      <c r="M238" s="357" t="s">
        <v>446</v>
      </c>
      <c r="N238" s="346"/>
      <c r="O238" s="15"/>
      <c r="P238" s="16"/>
      <c r="Q238" s="16"/>
      <c r="R238" s="16"/>
      <c r="S238" s="16"/>
      <c r="T238" s="16"/>
      <c r="U238" s="16"/>
      <c r="V238" s="16"/>
      <c r="W238" s="16"/>
      <c r="X238" s="16"/>
      <c r="Y238" s="16"/>
      <c r="Z238" s="17"/>
    </row>
    <row r="239" spans="1:26" s="59" customFormat="1" ht="29.25" hidden="1" customHeight="1">
      <c r="A239" s="8"/>
      <c r="B239" s="11" t="str">
        <f>+IFERROR(VLOOKUP(C239,Listas!$L$8:$M$101,2,FALSE),"")</f>
        <v>10050101</v>
      </c>
      <c r="C239" s="335" t="s">
        <v>482</v>
      </c>
      <c r="D239" s="273"/>
      <c r="E239" s="274"/>
      <c r="F239" s="273"/>
      <c r="G239" s="274"/>
      <c r="H239" s="9"/>
      <c r="I239" s="335"/>
      <c r="J239" s="10"/>
      <c r="K239" s="335"/>
      <c r="L239" s="11" t="str">
        <f>+IF(M239=""," ",VLOOKUP(M239,Listas!$F$9:$G$17,2,FALSE))</f>
        <v>03</v>
      </c>
      <c r="M239" s="357" t="s">
        <v>446</v>
      </c>
      <c r="N239" s="346"/>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35" t="s">
        <v>482</v>
      </c>
      <c r="D240" s="273"/>
      <c r="E240" s="274"/>
      <c r="F240" s="273"/>
      <c r="G240" s="274"/>
      <c r="H240" s="9"/>
      <c r="I240" s="335"/>
      <c r="J240" s="10"/>
      <c r="K240" s="335"/>
      <c r="L240" s="11" t="str">
        <f>+IF(M240=""," ",VLOOKUP(M240,Listas!$F$9:$G$17,2,FALSE))</f>
        <v>03</v>
      </c>
      <c r="M240" s="357" t="s">
        <v>446</v>
      </c>
      <c r="N240" s="346"/>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35" t="s">
        <v>482</v>
      </c>
      <c r="D241" s="273"/>
      <c r="E241" s="274"/>
      <c r="F241" s="273"/>
      <c r="G241" s="274"/>
      <c r="H241" s="9"/>
      <c r="I241" s="335"/>
      <c r="J241" s="10"/>
      <c r="K241" s="335"/>
      <c r="L241" s="11" t="str">
        <f>+IF(M241=""," ",VLOOKUP(M241,Listas!$F$9:$G$17,2,FALSE))</f>
        <v>03</v>
      </c>
      <c r="M241" s="357" t="s">
        <v>446</v>
      </c>
      <c r="N241" s="346"/>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35" t="s">
        <v>482</v>
      </c>
      <c r="D242" s="273"/>
      <c r="E242" s="274"/>
      <c r="F242" s="273"/>
      <c r="G242" s="274"/>
      <c r="H242" s="9"/>
      <c r="I242" s="335"/>
      <c r="J242" s="10"/>
      <c r="K242" s="335"/>
      <c r="L242" s="11" t="str">
        <f>+IF(M242=""," ",VLOOKUP(M242,Listas!$F$9:$G$17,2,FALSE))</f>
        <v>03</v>
      </c>
      <c r="M242" s="357" t="s">
        <v>446</v>
      </c>
      <c r="N242" s="346"/>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35" t="s">
        <v>482</v>
      </c>
      <c r="D243" s="273"/>
      <c r="E243" s="274"/>
      <c r="F243" s="273"/>
      <c r="G243" s="274"/>
      <c r="H243" s="9"/>
      <c r="I243" s="335"/>
      <c r="J243" s="10"/>
      <c r="K243" s="335"/>
      <c r="L243" s="11" t="str">
        <f>+IF(M243=""," ",VLOOKUP(M243,Listas!$F$9:$G$17,2,FALSE))</f>
        <v>03</v>
      </c>
      <c r="M243" s="357" t="s">
        <v>446</v>
      </c>
      <c r="N243" s="346"/>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35" t="s">
        <v>482</v>
      </c>
      <c r="D244" s="273"/>
      <c r="E244" s="274"/>
      <c r="F244" s="273"/>
      <c r="G244" s="274"/>
      <c r="H244" s="9"/>
      <c r="I244" s="335"/>
      <c r="J244" s="10"/>
      <c r="K244" s="335"/>
      <c r="L244" s="11" t="str">
        <f>+IF(M244=""," ",VLOOKUP(M244,Listas!$F$9:$G$17,2,FALSE))</f>
        <v>03</v>
      </c>
      <c r="M244" s="357" t="s">
        <v>446</v>
      </c>
      <c r="N244" s="346"/>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35" t="s">
        <v>482</v>
      </c>
      <c r="D245" s="273"/>
      <c r="E245" s="274"/>
      <c r="F245" s="273"/>
      <c r="G245" s="274"/>
      <c r="H245" s="9"/>
      <c r="I245" s="335"/>
      <c r="J245" s="10"/>
      <c r="K245" s="335"/>
      <c r="L245" s="11" t="str">
        <f>+IF(M245=""," ",VLOOKUP(M245,Listas!$F$9:$G$17,2,FALSE))</f>
        <v>03</v>
      </c>
      <c r="M245" s="357" t="s">
        <v>446</v>
      </c>
      <c r="N245" s="346"/>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35" t="s">
        <v>482</v>
      </c>
      <c r="D246" s="273"/>
      <c r="E246" s="274"/>
      <c r="F246" s="273"/>
      <c r="G246" s="274"/>
      <c r="H246" s="9"/>
      <c r="I246" s="335"/>
      <c r="J246" s="10"/>
      <c r="K246" s="335"/>
      <c r="L246" s="11" t="str">
        <f>+IF(M246=""," ",VLOOKUP(M246,Listas!$F$9:$G$17,2,FALSE))</f>
        <v>03</v>
      </c>
      <c r="M246" s="357" t="s">
        <v>446</v>
      </c>
      <c r="N246" s="346"/>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35" t="s">
        <v>482</v>
      </c>
      <c r="D247" s="273"/>
      <c r="E247" s="274"/>
      <c r="F247" s="273"/>
      <c r="G247" s="274"/>
      <c r="H247" s="9"/>
      <c r="I247" s="335"/>
      <c r="J247" s="10"/>
      <c r="K247" s="335"/>
      <c r="L247" s="11" t="str">
        <f>+IF(M247=""," ",VLOOKUP(M247,Listas!$F$9:$G$17,2,FALSE))</f>
        <v>03</v>
      </c>
      <c r="M247" s="357" t="s">
        <v>446</v>
      </c>
      <c r="N247" s="346"/>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35" t="s">
        <v>482</v>
      </c>
      <c r="D248" s="273"/>
      <c r="E248" s="274"/>
      <c r="F248" s="273"/>
      <c r="G248" s="274"/>
      <c r="H248" s="9"/>
      <c r="I248" s="335"/>
      <c r="J248" s="10"/>
      <c r="K248" s="335"/>
      <c r="L248" s="11" t="str">
        <f>+IF(M248=""," ",VLOOKUP(M248,Listas!$F$9:$G$17,2,FALSE))</f>
        <v>03</v>
      </c>
      <c r="M248" s="357" t="s">
        <v>446</v>
      </c>
      <c r="N248" s="346"/>
      <c r="O248" s="15"/>
      <c r="P248" s="16"/>
      <c r="Q248" s="16"/>
      <c r="R248" s="16"/>
      <c r="S248" s="16"/>
      <c r="T248" s="16"/>
      <c r="U248" s="16"/>
      <c r="V248" s="16"/>
      <c r="W248" s="16"/>
      <c r="X248" s="16"/>
      <c r="Y248" s="16"/>
      <c r="Z248" s="17"/>
    </row>
    <row r="249" spans="1:26" s="59" customFormat="1" ht="29.25" hidden="1" customHeight="1" thickBot="1">
      <c r="A249" s="8"/>
      <c r="B249" s="22" t="str">
        <f>+IFERROR(VLOOKUP(C249,Listas!$L$8:$M$101,2,FALSE),"")</f>
        <v>10050101</v>
      </c>
      <c r="C249" s="341" t="s">
        <v>482</v>
      </c>
      <c r="D249" s="277"/>
      <c r="E249" s="278"/>
      <c r="F249" s="277"/>
      <c r="G249" s="278"/>
      <c r="H249" s="9"/>
      <c r="I249" s="335"/>
      <c r="J249" s="10"/>
      <c r="K249" s="335"/>
      <c r="L249" s="11" t="str">
        <f>+IF(M249=""," ",VLOOKUP(M249,Listas!$F$9:$G$17,2,FALSE))</f>
        <v>03</v>
      </c>
      <c r="M249" s="357" t="s">
        <v>446</v>
      </c>
      <c r="N249" s="346"/>
      <c r="O249" s="23"/>
      <c r="P249" s="24"/>
      <c r="Q249" s="24"/>
      <c r="R249" s="24"/>
      <c r="S249" s="24"/>
      <c r="T249" s="24"/>
      <c r="U249" s="24"/>
      <c r="V249" s="24"/>
      <c r="W249" s="24"/>
      <c r="X249" s="24"/>
      <c r="Y249" s="24"/>
      <c r="Z249" s="25"/>
    </row>
    <row r="250" spans="1:26" s="59" customFormat="1" ht="38.25" customHeight="1">
      <c r="A250" s="8"/>
      <c r="B250" s="33" t="str">
        <f>+IFERROR(VLOOKUP(C250,Listas!$L$8:$M$101,2,FALSE),"")</f>
        <v>10050102</v>
      </c>
      <c r="C250" s="343" t="s">
        <v>483</v>
      </c>
      <c r="D250" s="275"/>
      <c r="E250" s="276"/>
      <c r="F250" s="627" t="s">
        <v>1161</v>
      </c>
      <c r="G250" s="401" t="s">
        <v>1162</v>
      </c>
      <c r="H250" s="18" t="str">
        <f>+IF(I250=""," ",VLOOKUP(I250,Listas!$I$12:$J$14,2,FALSE))</f>
        <v>05</v>
      </c>
      <c r="I250" s="340" t="s">
        <v>467</v>
      </c>
      <c r="J250" s="19">
        <f>+IF(K250=""," ",VLOOKUP(K250,PUC!$B:$C,2,FALSE))</f>
        <v>6210021401</v>
      </c>
      <c r="K250" s="340" t="s">
        <v>712</v>
      </c>
      <c r="L250" s="20" t="str">
        <f>+IF(M250=""," ",VLOOKUP(M250,Listas!$F$9:$G$17,2,FALSE))</f>
        <v>03</v>
      </c>
      <c r="M250" s="358" t="s">
        <v>446</v>
      </c>
      <c r="N250" s="347"/>
      <c r="O250" s="12"/>
      <c r="P250" s="13"/>
      <c r="Q250" s="13"/>
      <c r="R250" s="13"/>
      <c r="S250" s="13"/>
      <c r="T250" s="13"/>
      <c r="U250" s="13"/>
      <c r="V250" s="13"/>
      <c r="W250" s="13"/>
      <c r="X250" s="13"/>
      <c r="Y250" s="13"/>
      <c r="Z250" s="14"/>
    </row>
    <row r="251" spans="1:26" s="59" customFormat="1" ht="25.5">
      <c r="A251" s="8"/>
      <c r="B251" s="11" t="str">
        <f>+IFERROR(VLOOKUP(C251,Listas!$L$8:$M$101,2,FALSE),"")</f>
        <v>10050102</v>
      </c>
      <c r="C251" s="335" t="s">
        <v>483</v>
      </c>
      <c r="D251" s="273"/>
      <c r="E251" s="274"/>
      <c r="F251" s="628"/>
      <c r="G251" s="401" t="s">
        <v>1175</v>
      </c>
      <c r="H251" s="9" t="str">
        <f>+IF(I251=""," ",VLOOKUP(I251,Listas!$I$12:$J$14,2,FALSE))</f>
        <v>05</v>
      </c>
      <c r="I251" s="335" t="s">
        <v>467</v>
      </c>
      <c r="J251" s="10">
        <f>+IF(K251=""," ",VLOOKUP(K251,PUC!$B:$C,2,FALSE))</f>
        <v>6210020203</v>
      </c>
      <c r="K251" s="335" t="s">
        <v>656</v>
      </c>
      <c r="L251" s="11" t="str">
        <f>+IF(M251=""," ",VLOOKUP(M251,Listas!$F$9:$G$17,2,FALSE))</f>
        <v>03</v>
      </c>
      <c r="M251" s="357" t="s">
        <v>446</v>
      </c>
      <c r="N251" s="346"/>
      <c r="O251" s="15"/>
      <c r="P251" s="16"/>
      <c r="Q251" s="16"/>
      <c r="R251" s="16"/>
      <c r="S251" s="16"/>
      <c r="T251" s="16"/>
      <c r="U251" s="16"/>
      <c r="V251" s="16"/>
      <c r="W251" s="16"/>
      <c r="X251" s="16"/>
      <c r="Y251" s="16"/>
      <c r="Z251" s="17"/>
    </row>
    <row r="252" spans="1:26" s="59" customFormat="1" ht="25.5">
      <c r="A252" s="8"/>
      <c r="B252" s="11" t="str">
        <f>+IFERROR(VLOOKUP(C252,Listas!$L$8:$M$101,2,FALSE),"")</f>
        <v>10050102</v>
      </c>
      <c r="C252" s="335" t="s">
        <v>483</v>
      </c>
      <c r="D252" s="273"/>
      <c r="E252" s="274"/>
      <c r="F252" s="628"/>
      <c r="G252" s="401" t="s">
        <v>1176</v>
      </c>
      <c r="H252" s="9" t="str">
        <f>+IF(I252=""," ",VLOOKUP(I252,Listas!$I$12:$J$14,2,FALSE))</f>
        <v>05</v>
      </c>
      <c r="I252" s="335" t="s">
        <v>467</v>
      </c>
      <c r="J252" s="10">
        <f>+IF(K252=""," ",VLOOKUP(K252,PUC!$B:$C,2,FALSE))</f>
        <v>6210020101</v>
      </c>
      <c r="K252" s="335" t="s">
        <v>640</v>
      </c>
      <c r="L252" s="11" t="str">
        <f>+IF(M252=""," ",VLOOKUP(M252,Listas!$F$9:$G$17,2,FALSE))</f>
        <v>03</v>
      </c>
      <c r="M252" s="357" t="s">
        <v>446</v>
      </c>
      <c r="N252" s="346"/>
      <c r="O252" s="15"/>
      <c r="P252" s="16"/>
      <c r="Q252" s="16"/>
      <c r="R252" s="16"/>
      <c r="S252" s="16"/>
      <c r="T252" s="16"/>
      <c r="U252" s="16"/>
      <c r="V252" s="16"/>
      <c r="W252" s="16"/>
      <c r="X252" s="16"/>
      <c r="Y252" s="16"/>
      <c r="Z252" s="17"/>
    </row>
    <row r="253" spans="1:26" s="59" customFormat="1" ht="25.5">
      <c r="A253" s="8"/>
      <c r="B253" s="11" t="str">
        <f>+IFERROR(VLOOKUP(C253,Listas!$L$8:$M$101,2,FALSE),"")</f>
        <v>10050102</v>
      </c>
      <c r="C253" s="335" t="s">
        <v>483</v>
      </c>
      <c r="D253" s="273"/>
      <c r="E253" s="274"/>
      <c r="F253" s="628"/>
      <c r="G253" s="401" t="s">
        <v>1172</v>
      </c>
      <c r="H253" s="9" t="str">
        <f>+IF(I253=""," ",VLOOKUP(I253,Listas!$I$12:$J$14,2,FALSE))</f>
        <v>06</v>
      </c>
      <c r="I253" s="335" t="s">
        <v>468</v>
      </c>
      <c r="J253" s="10">
        <f>+IF(K253=""," ",VLOOKUP(K253,PUC!$B:$C,2,FALSE))</f>
        <v>6210021103</v>
      </c>
      <c r="K253" s="335" t="s">
        <v>950</v>
      </c>
      <c r="L253" s="11" t="str">
        <f>+IF(M253=""," ",VLOOKUP(M253,Listas!$F$9:$G$17,2,FALSE))</f>
        <v>03</v>
      </c>
      <c r="M253" s="357" t="s">
        <v>446</v>
      </c>
      <c r="N253" s="346"/>
      <c r="O253" s="15"/>
      <c r="P253" s="16"/>
      <c r="Q253" s="16"/>
      <c r="R253" s="16"/>
      <c r="S253" s="16"/>
      <c r="T253" s="16"/>
      <c r="U253" s="16"/>
      <c r="V253" s="16"/>
      <c r="W253" s="16"/>
      <c r="X253" s="16"/>
      <c r="Y253" s="16"/>
      <c r="Z253" s="17"/>
    </row>
    <row r="254" spans="1:26" s="59" customFormat="1" ht="25.5">
      <c r="A254" s="8"/>
      <c r="B254" s="11" t="str">
        <f>+IFERROR(VLOOKUP(C254,Listas!$L$8:$M$101,2,FALSE),"")</f>
        <v>10050102</v>
      </c>
      <c r="C254" s="335" t="s">
        <v>483</v>
      </c>
      <c r="D254" s="273"/>
      <c r="E254" s="274"/>
      <c r="F254" s="628"/>
      <c r="G254" s="401" t="s">
        <v>1177</v>
      </c>
      <c r="H254" s="9" t="str">
        <f>+IF(I254=""," ",VLOOKUP(I254,Listas!$I$12:$J$14,2,FALSE))</f>
        <v>05</v>
      </c>
      <c r="I254" s="335" t="s">
        <v>467</v>
      </c>
      <c r="J254" s="10">
        <f>+IF(K254=""," ",VLOOKUP(K254,PUC!$B:$C,2,FALSE))</f>
        <v>6210020203</v>
      </c>
      <c r="K254" s="335" t="s">
        <v>656</v>
      </c>
      <c r="L254" s="11" t="str">
        <f>+IF(M254=""," ",VLOOKUP(M254,Listas!$F$9:$G$17,2,FALSE))</f>
        <v>03</v>
      </c>
      <c r="M254" s="357" t="s">
        <v>446</v>
      </c>
      <c r="N254" s="346"/>
      <c r="O254" s="15"/>
      <c r="P254" s="16"/>
      <c r="Q254" s="16"/>
      <c r="R254" s="16"/>
      <c r="S254" s="16"/>
      <c r="T254" s="16"/>
      <c r="U254" s="16"/>
      <c r="V254" s="16"/>
      <c r="W254" s="16"/>
      <c r="X254" s="16"/>
      <c r="Y254" s="16"/>
      <c r="Z254" s="17"/>
    </row>
    <row r="255" spans="1:26" s="59" customFormat="1" ht="25.5">
      <c r="A255" s="8"/>
      <c r="B255" s="11" t="str">
        <f>+IFERROR(VLOOKUP(C255,Listas!$L$8:$M$101,2,FALSE),"")</f>
        <v>10050102</v>
      </c>
      <c r="C255" s="335" t="s">
        <v>483</v>
      </c>
      <c r="D255" s="273"/>
      <c r="E255" s="274"/>
      <c r="F255" s="628"/>
      <c r="G255" s="401" t="s">
        <v>1178</v>
      </c>
      <c r="H255" s="9" t="str">
        <f>+IF(I255=""," ",VLOOKUP(I255,Listas!$I$12:$J$14,2,FALSE))</f>
        <v>05</v>
      </c>
      <c r="I255" s="335" t="s">
        <v>467</v>
      </c>
      <c r="J255" s="10">
        <f>+IF(K255=""," ",VLOOKUP(K255,PUC!$B:$C,2,FALSE))</f>
        <v>6210020101</v>
      </c>
      <c r="K255" s="335" t="s">
        <v>640</v>
      </c>
      <c r="L255" s="11" t="str">
        <f>+IF(M255=""," ",VLOOKUP(M255,Listas!$F$9:$G$17,2,FALSE))</f>
        <v>03</v>
      </c>
      <c r="M255" s="357" t="s">
        <v>446</v>
      </c>
      <c r="N255" s="346"/>
      <c r="O255" s="15"/>
      <c r="P255" s="16"/>
      <c r="Q255" s="16"/>
      <c r="R255" s="16"/>
      <c r="S255" s="16"/>
      <c r="T255" s="16"/>
      <c r="U255" s="16"/>
      <c r="V255" s="16"/>
      <c r="W255" s="16"/>
      <c r="X255" s="16"/>
      <c r="Y255" s="16"/>
      <c r="Z255" s="17"/>
    </row>
    <row r="256" spans="1:26" s="59" customFormat="1" ht="25.5">
      <c r="A256" s="8"/>
      <c r="B256" s="11" t="str">
        <f>+IFERROR(VLOOKUP(C256,Listas!$L$8:$M$101,2,FALSE),"")</f>
        <v>10050102</v>
      </c>
      <c r="C256" s="335" t="s">
        <v>483</v>
      </c>
      <c r="D256" s="273"/>
      <c r="E256" s="274"/>
      <c r="F256" s="628"/>
      <c r="G256" s="401" t="s">
        <v>1173</v>
      </c>
      <c r="H256" s="9" t="str">
        <f>+IF(I256=""," ",VLOOKUP(I256,Listas!$I$12:$J$14,2,FALSE))</f>
        <v>06</v>
      </c>
      <c r="I256" s="335" t="s">
        <v>468</v>
      </c>
      <c r="J256" s="10">
        <f>+IF(K256=""," ",VLOOKUP(K256,PUC!$B:$C,2,FALSE))</f>
        <v>6210021103</v>
      </c>
      <c r="K256" s="335" t="s">
        <v>950</v>
      </c>
      <c r="L256" s="11" t="str">
        <f>+IF(M256=""," ",VLOOKUP(M256,Listas!$F$9:$G$17,2,FALSE))</f>
        <v>03</v>
      </c>
      <c r="M256" s="357" t="s">
        <v>446</v>
      </c>
      <c r="N256" s="346"/>
      <c r="O256" s="15"/>
      <c r="P256" s="16"/>
      <c r="Q256" s="16"/>
      <c r="R256" s="16"/>
      <c r="S256" s="16"/>
      <c r="T256" s="16"/>
      <c r="U256" s="16"/>
      <c r="V256" s="16"/>
      <c r="W256" s="16"/>
      <c r="X256" s="16"/>
      <c r="Y256" s="16"/>
      <c r="Z256" s="17"/>
    </row>
    <row r="257" spans="1:26" s="59" customFormat="1" ht="25.5">
      <c r="A257" s="8"/>
      <c r="B257" s="11" t="str">
        <f>+IFERROR(VLOOKUP(C257,Listas!$L$8:$M$101,2,FALSE),"")</f>
        <v>10050102</v>
      </c>
      <c r="C257" s="335" t="s">
        <v>483</v>
      </c>
      <c r="D257" s="273"/>
      <c r="E257" s="274"/>
      <c r="F257" s="628"/>
      <c r="G257" s="401" t="s">
        <v>1174</v>
      </c>
      <c r="H257" s="9" t="str">
        <f>+IF(I257=""," ",VLOOKUP(I257,Listas!$I$12:$J$14,2,FALSE))</f>
        <v>05</v>
      </c>
      <c r="I257" s="335" t="s">
        <v>467</v>
      </c>
      <c r="J257" s="10">
        <f>+IF(K257=""," ",VLOOKUP(K257,PUC!$B:$C,2,FALSE))</f>
        <v>6210020203</v>
      </c>
      <c r="K257" s="335" t="s">
        <v>656</v>
      </c>
      <c r="L257" s="11" t="str">
        <f>+IF(M257=""," ",VLOOKUP(M257,Listas!$F$9:$G$17,2,FALSE))</f>
        <v>03</v>
      </c>
      <c r="M257" s="357" t="s">
        <v>446</v>
      </c>
      <c r="N257" s="346"/>
      <c r="O257" s="15"/>
      <c r="P257" s="16"/>
      <c r="Q257" s="16"/>
      <c r="R257" s="16"/>
      <c r="S257" s="16"/>
      <c r="T257" s="16"/>
      <c r="U257" s="16"/>
      <c r="V257" s="16"/>
      <c r="W257" s="16"/>
      <c r="X257" s="16"/>
      <c r="Y257" s="16"/>
      <c r="Z257" s="17"/>
    </row>
    <row r="258" spans="1:26" s="59" customFormat="1" ht="25.5">
      <c r="A258" s="8"/>
      <c r="B258" s="11" t="str">
        <f>+IFERROR(VLOOKUP(C258,Listas!$L$8:$M$101,2,FALSE),"")</f>
        <v>10050102</v>
      </c>
      <c r="C258" s="335" t="s">
        <v>483</v>
      </c>
      <c r="D258" s="273"/>
      <c r="E258" s="274"/>
      <c r="F258" s="628"/>
      <c r="G258" s="401" t="s">
        <v>1174</v>
      </c>
      <c r="H258" s="9" t="str">
        <f>+IF(I258=""," ",VLOOKUP(I258,Listas!$I$12:$J$14,2,FALSE))</f>
        <v>05</v>
      </c>
      <c r="I258" s="335" t="s">
        <v>467</v>
      </c>
      <c r="J258" s="10">
        <f>+IF(K258=""," ",VLOOKUP(K258,PUC!$B:$C,2,FALSE))</f>
        <v>6210020101</v>
      </c>
      <c r="K258" s="335" t="s">
        <v>640</v>
      </c>
      <c r="L258" s="11" t="str">
        <f>+IF(M258=""," ",VLOOKUP(M258,Listas!$F$9:$G$17,2,FALSE))</f>
        <v>03</v>
      </c>
      <c r="M258" s="357" t="s">
        <v>446</v>
      </c>
      <c r="N258" s="346"/>
      <c r="O258" s="15"/>
      <c r="P258" s="16"/>
      <c r="Q258" s="16"/>
      <c r="R258" s="16"/>
      <c r="S258" s="16"/>
      <c r="T258" s="16"/>
      <c r="U258" s="16"/>
      <c r="V258" s="16"/>
      <c r="W258" s="16"/>
      <c r="X258" s="16"/>
      <c r="Y258" s="16"/>
      <c r="Z258" s="17"/>
    </row>
    <row r="259" spans="1:26" s="59" customFormat="1" ht="25.5">
      <c r="A259" s="8"/>
      <c r="B259" s="11" t="str">
        <f>+IFERROR(VLOOKUP(C259,Listas!$L$8:$M$101,2,FALSE),"")</f>
        <v>10050102</v>
      </c>
      <c r="C259" s="335" t="s">
        <v>483</v>
      </c>
      <c r="D259" s="273"/>
      <c r="E259" s="274"/>
      <c r="F259" s="628"/>
      <c r="G259" s="401" t="s">
        <v>1174</v>
      </c>
      <c r="H259" s="9" t="str">
        <f>+IF(I259=""," ",VLOOKUP(I259,Listas!$I$12:$J$14,2,FALSE))</f>
        <v>06</v>
      </c>
      <c r="I259" s="335" t="s">
        <v>468</v>
      </c>
      <c r="J259" s="10">
        <f>+IF(K259=""," ",VLOOKUP(K259,PUC!$B:$C,2,FALSE))</f>
        <v>6210021103</v>
      </c>
      <c r="K259" s="335" t="s">
        <v>950</v>
      </c>
      <c r="L259" s="11" t="str">
        <f>+IF(M259=""," ",VLOOKUP(M259,Listas!$F$9:$G$17,2,FALSE))</f>
        <v>03</v>
      </c>
      <c r="M259" s="357" t="s">
        <v>446</v>
      </c>
      <c r="N259" s="346"/>
      <c r="O259" s="15"/>
      <c r="P259" s="16"/>
      <c r="Q259" s="16"/>
      <c r="R259" s="16"/>
      <c r="S259" s="16"/>
      <c r="T259" s="16"/>
      <c r="U259" s="16"/>
      <c r="V259" s="16"/>
      <c r="W259" s="16"/>
      <c r="X259" s="16"/>
      <c r="Y259" s="16"/>
      <c r="Z259" s="17"/>
    </row>
    <row r="260" spans="1:26" s="59" customFormat="1" ht="38.25">
      <c r="A260" s="8"/>
      <c r="B260" s="11" t="str">
        <f>+IFERROR(VLOOKUP(C260,Listas!$L$8:$M$101,2,FALSE),"")</f>
        <v>10050102</v>
      </c>
      <c r="C260" s="335" t="s">
        <v>483</v>
      </c>
      <c r="D260" s="273"/>
      <c r="E260" s="274"/>
      <c r="F260" s="628"/>
      <c r="G260" s="401" t="s">
        <v>1163</v>
      </c>
      <c r="H260" s="9" t="str">
        <f>+IF(I260=""," ",VLOOKUP(I260,Listas!$I$12:$J$14,2,FALSE))</f>
        <v xml:space="preserve"> </v>
      </c>
      <c r="I260" s="335"/>
      <c r="J260" s="10" t="str">
        <f>+IF(K260=""," ",VLOOKUP(K260,PUC!$B:$C,2,FALSE))</f>
        <v xml:space="preserve"> </v>
      </c>
      <c r="K260" s="335"/>
      <c r="L260" s="11" t="str">
        <f>+IF(M260=""," ",VLOOKUP(M260,Listas!$F$9:$G$17,2,FALSE))</f>
        <v>03</v>
      </c>
      <c r="M260" s="357" t="s">
        <v>446</v>
      </c>
      <c r="N260" s="346"/>
      <c r="O260" s="15"/>
      <c r="P260" s="16"/>
      <c r="Q260" s="16"/>
      <c r="R260" s="16"/>
      <c r="S260" s="16"/>
      <c r="T260" s="16"/>
      <c r="U260" s="16"/>
      <c r="V260" s="16"/>
      <c r="W260" s="16"/>
      <c r="X260" s="16"/>
      <c r="Y260" s="16"/>
      <c r="Z260" s="17"/>
    </row>
    <row r="261" spans="1:26" s="59" customFormat="1" ht="29.25" customHeight="1">
      <c r="A261" s="8"/>
      <c r="B261" s="11" t="str">
        <f>+IFERROR(VLOOKUP(C261,Listas!$L$8:$M$101,2,FALSE),"")</f>
        <v>10050102</v>
      </c>
      <c r="C261" s="335" t="s">
        <v>483</v>
      </c>
      <c r="D261" s="273"/>
      <c r="E261" s="274"/>
      <c r="F261" s="628"/>
      <c r="G261" s="401" t="s">
        <v>1164</v>
      </c>
      <c r="H261" s="9" t="str">
        <f>+IF(I261=""," ",VLOOKUP(I261,Listas!$I$12:$J$14,2,FALSE))</f>
        <v xml:space="preserve"> </v>
      </c>
      <c r="I261" s="335"/>
      <c r="J261" s="10" t="str">
        <f>+IF(K261=""," ",VLOOKUP(K261,PUC!$B:$C,2,FALSE))</f>
        <v xml:space="preserve"> </v>
      </c>
      <c r="K261" s="335"/>
      <c r="L261" s="11" t="str">
        <f>+IF(M261=""," ",VLOOKUP(M261,Listas!$F$9:$G$17,2,FALSE))</f>
        <v>03</v>
      </c>
      <c r="M261" s="357" t="s">
        <v>446</v>
      </c>
      <c r="N261" s="346"/>
      <c r="O261" s="15"/>
      <c r="P261" s="16"/>
      <c r="Q261" s="16"/>
      <c r="R261" s="16"/>
      <c r="S261" s="16"/>
      <c r="T261" s="16"/>
      <c r="U261" s="16"/>
      <c r="V261" s="16"/>
      <c r="W261" s="16"/>
      <c r="X261" s="16"/>
      <c r="Y261" s="16"/>
      <c r="Z261" s="17"/>
    </row>
    <row r="262" spans="1:26" s="59" customFormat="1" ht="29.25" customHeight="1">
      <c r="A262" s="8"/>
      <c r="B262" s="11" t="str">
        <f>+IFERROR(VLOOKUP(C262,Listas!$L$8:$M$101,2,FALSE),"")</f>
        <v>10050102</v>
      </c>
      <c r="C262" s="335" t="s">
        <v>483</v>
      </c>
      <c r="D262" s="273"/>
      <c r="E262" s="274"/>
      <c r="F262" s="628"/>
      <c r="G262" s="401" t="s">
        <v>1165</v>
      </c>
      <c r="H262" s="9" t="str">
        <f>+IF(I262=""," ",VLOOKUP(I262,Listas!$I$12:$J$14,2,FALSE))</f>
        <v xml:space="preserve"> </v>
      </c>
      <c r="I262" s="335"/>
      <c r="J262" s="10" t="str">
        <f>+IF(K262=""," ",VLOOKUP(K262,PUC!$B:$C,2,FALSE))</f>
        <v xml:space="preserve"> </v>
      </c>
      <c r="K262" s="335"/>
      <c r="L262" s="11" t="str">
        <f>+IF(M262=""," ",VLOOKUP(M262,Listas!$F$9:$G$17,2,FALSE))</f>
        <v>03</v>
      </c>
      <c r="M262" s="357" t="s">
        <v>446</v>
      </c>
      <c r="N262" s="346"/>
      <c r="O262" s="15"/>
      <c r="P262" s="16"/>
      <c r="Q262" s="16"/>
      <c r="R262" s="16"/>
      <c r="S262" s="16"/>
      <c r="T262" s="16"/>
      <c r="U262" s="16"/>
      <c r="V262" s="16"/>
      <c r="W262" s="16"/>
      <c r="X262" s="16"/>
      <c r="Y262" s="16"/>
      <c r="Z262" s="17"/>
    </row>
    <row r="263" spans="1:26" s="59" customFormat="1" ht="29.25" customHeight="1">
      <c r="A263" s="8"/>
      <c r="B263" s="11" t="str">
        <f>+IFERROR(VLOOKUP(C263,Listas!$L$8:$M$101,2,FALSE),"")</f>
        <v>10050102</v>
      </c>
      <c r="C263" s="335" t="s">
        <v>483</v>
      </c>
      <c r="D263" s="273"/>
      <c r="E263" s="274"/>
      <c r="F263" s="628"/>
      <c r="G263" s="401" t="s">
        <v>1179</v>
      </c>
      <c r="H263" s="9" t="str">
        <f>+IF(I263=""," ",VLOOKUP(I263,Listas!$I$12:$J$14,2,FALSE))</f>
        <v>06</v>
      </c>
      <c r="I263" s="335" t="s">
        <v>468</v>
      </c>
      <c r="J263" s="10">
        <f>+IF(K263=""," ",VLOOKUP(K263,PUC!$B:$C,2,FALSE))</f>
        <v>6210110101</v>
      </c>
      <c r="K263" s="335" t="s">
        <v>1006</v>
      </c>
      <c r="L263" s="11" t="str">
        <f>+IF(M263=""," ",VLOOKUP(M263,Listas!$F$9:$G$17,2,FALSE))</f>
        <v>03</v>
      </c>
      <c r="M263" s="357" t="s">
        <v>446</v>
      </c>
      <c r="N263" s="346"/>
      <c r="O263" s="15"/>
      <c r="P263" s="16"/>
      <c r="Q263" s="16"/>
      <c r="R263" s="16"/>
      <c r="S263" s="16"/>
      <c r="T263" s="16"/>
      <c r="U263" s="16"/>
      <c r="V263" s="16"/>
      <c r="W263" s="16"/>
      <c r="X263" s="16"/>
      <c r="Y263" s="16"/>
      <c r="Z263" s="17"/>
    </row>
    <row r="264" spans="1:26" s="59" customFormat="1" ht="29.25" customHeight="1">
      <c r="A264" s="8"/>
      <c r="B264" s="11" t="str">
        <f>+IFERROR(VLOOKUP(C264,Listas!$L$8:$M$101,2,FALSE),"")</f>
        <v>10050102</v>
      </c>
      <c r="C264" s="335" t="s">
        <v>483</v>
      </c>
      <c r="D264" s="273"/>
      <c r="E264" s="274"/>
      <c r="F264" s="628"/>
      <c r="G264" s="401" t="s">
        <v>1166</v>
      </c>
      <c r="H264" s="9" t="str">
        <f>+IF(I264=""," ",VLOOKUP(I264,Listas!$I$12:$J$14,2,FALSE))</f>
        <v xml:space="preserve"> </v>
      </c>
      <c r="I264" s="335"/>
      <c r="J264" s="10" t="str">
        <f>+IF(K264=""," ",VLOOKUP(K264,PUC!$B:$C,2,FALSE))</f>
        <v xml:space="preserve"> </v>
      </c>
      <c r="K264" s="335"/>
      <c r="L264" s="11" t="str">
        <f>+IF(M264=""," ",VLOOKUP(M264,Listas!$F$9:$G$17,2,FALSE))</f>
        <v>03</v>
      </c>
      <c r="M264" s="357" t="s">
        <v>446</v>
      </c>
      <c r="N264" s="346"/>
      <c r="O264" s="15"/>
      <c r="P264" s="16"/>
      <c r="Q264" s="16"/>
      <c r="R264" s="16"/>
      <c r="S264" s="16"/>
      <c r="T264" s="16"/>
      <c r="U264" s="16"/>
      <c r="V264" s="16"/>
      <c r="W264" s="16"/>
      <c r="X264" s="16"/>
      <c r="Y264" s="16"/>
      <c r="Z264" s="17"/>
    </row>
    <row r="265" spans="1:26" s="59" customFormat="1" ht="29.25" customHeight="1">
      <c r="A265" s="8"/>
      <c r="B265" s="11" t="str">
        <f>+IFERROR(VLOOKUP(C265,Listas!$L$8:$M$101,2,FALSE),"")</f>
        <v>10050102</v>
      </c>
      <c r="C265" s="335" t="s">
        <v>483</v>
      </c>
      <c r="D265" s="273"/>
      <c r="E265" s="274"/>
      <c r="F265" s="628"/>
      <c r="G265" s="401" t="s">
        <v>1167</v>
      </c>
      <c r="H265" s="9" t="str">
        <f>+IF(I265=""," ",VLOOKUP(I265,Listas!$I$12:$J$14,2,FALSE))</f>
        <v xml:space="preserve"> </v>
      </c>
      <c r="I265" s="335"/>
      <c r="J265" s="10" t="str">
        <f>+IF(K265=""," ",VLOOKUP(K265,PUC!$B:$C,2,FALSE))</f>
        <v xml:space="preserve"> </v>
      </c>
      <c r="K265" s="335"/>
      <c r="L265" s="11" t="str">
        <f>+IF(M265=""," ",VLOOKUP(M265,Listas!$F$9:$G$17,2,FALSE))</f>
        <v>03</v>
      </c>
      <c r="M265" s="357" t="s">
        <v>446</v>
      </c>
      <c r="N265" s="346"/>
      <c r="O265" s="15"/>
      <c r="P265" s="16"/>
      <c r="Q265" s="16"/>
      <c r="R265" s="16"/>
      <c r="S265" s="16"/>
      <c r="T265" s="16"/>
      <c r="U265" s="16"/>
      <c r="V265" s="16"/>
      <c r="W265" s="16"/>
      <c r="X265" s="16"/>
      <c r="Y265" s="16"/>
      <c r="Z265" s="17"/>
    </row>
    <row r="266" spans="1:26" s="59" customFormat="1" ht="29.25" customHeight="1">
      <c r="A266" s="8"/>
      <c r="B266" s="11" t="str">
        <f>+IFERROR(VLOOKUP(C266,Listas!$L$8:$M$101,2,FALSE),"")</f>
        <v>10050102</v>
      </c>
      <c r="C266" s="335" t="s">
        <v>483</v>
      </c>
      <c r="D266" s="273"/>
      <c r="E266" s="274"/>
      <c r="F266" s="628"/>
      <c r="G266" s="401" t="s">
        <v>1168</v>
      </c>
      <c r="H266" s="9" t="str">
        <f>+IF(I266=""," ",VLOOKUP(I266,Listas!$I$12:$J$14,2,FALSE))</f>
        <v xml:space="preserve"> </v>
      </c>
      <c r="I266" s="335"/>
      <c r="J266" s="10" t="str">
        <f>+IF(K266=""," ",VLOOKUP(K266,PUC!$B:$C,2,FALSE))</f>
        <v xml:space="preserve"> </v>
      </c>
      <c r="K266" s="335"/>
      <c r="L266" s="11" t="str">
        <f>+IF(M266=""," ",VLOOKUP(M266,Listas!$F$9:$G$17,2,FALSE))</f>
        <v>03</v>
      </c>
      <c r="M266" s="357" t="s">
        <v>446</v>
      </c>
      <c r="N266" s="346"/>
      <c r="O266" s="15"/>
      <c r="P266" s="16"/>
      <c r="Q266" s="16"/>
      <c r="R266" s="16"/>
      <c r="S266" s="16"/>
      <c r="T266" s="16"/>
      <c r="U266" s="16"/>
      <c r="V266" s="16"/>
      <c r="W266" s="16"/>
      <c r="X266" s="16"/>
      <c r="Y266" s="16"/>
      <c r="Z266" s="17"/>
    </row>
    <row r="267" spans="1:26" s="59" customFormat="1" ht="29.25" customHeight="1">
      <c r="A267" s="8"/>
      <c r="B267" s="11" t="str">
        <f>+IFERROR(VLOOKUP(C267,Listas!$L$8:$M$101,2,FALSE),"")</f>
        <v>10050102</v>
      </c>
      <c r="C267" s="335" t="s">
        <v>483</v>
      </c>
      <c r="D267" s="273"/>
      <c r="E267" s="274"/>
      <c r="F267" s="628"/>
      <c r="G267" s="401" t="s">
        <v>1169</v>
      </c>
      <c r="H267" s="9" t="str">
        <f>+IF(I267=""," ",VLOOKUP(I267,Listas!$I$12:$J$14,2,FALSE))</f>
        <v xml:space="preserve"> </v>
      </c>
      <c r="I267" s="335"/>
      <c r="J267" s="10" t="str">
        <f>+IF(K267=""," ",VLOOKUP(K267,PUC!$B:$C,2,FALSE))</f>
        <v xml:space="preserve"> </v>
      </c>
      <c r="K267" s="335"/>
      <c r="L267" s="11" t="str">
        <f>+IF(M267=""," ",VLOOKUP(M267,Listas!$F$9:$G$17,2,FALSE))</f>
        <v>03</v>
      </c>
      <c r="M267" s="357" t="s">
        <v>446</v>
      </c>
      <c r="N267" s="346"/>
      <c r="O267" s="15"/>
      <c r="P267" s="16"/>
      <c r="Q267" s="16"/>
      <c r="R267" s="16"/>
      <c r="S267" s="16"/>
      <c r="T267" s="16"/>
      <c r="U267" s="16"/>
      <c r="V267" s="16"/>
      <c r="W267" s="16"/>
      <c r="X267" s="16"/>
      <c r="Y267" s="16"/>
      <c r="Z267" s="17"/>
    </row>
    <row r="268" spans="1:26" s="59" customFormat="1" ht="29.25" customHeight="1">
      <c r="A268" s="8"/>
      <c r="B268" s="11" t="str">
        <f>+IFERROR(VLOOKUP(C268,Listas!$L$8:$M$101,2,FALSE),"")</f>
        <v>10050102</v>
      </c>
      <c r="C268" s="335" t="s">
        <v>483</v>
      </c>
      <c r="D268" s="273"/>
      <c r="E268" s="274"/>
      <c r="F268" s="628"/>
      <c r="G268" s="401" t="s">
        <v>1170</v>
      </c>
      <c r="H268" s="9" t="str">
        <f>+IF(I268=""," ",VLOOKUP(I268,Listas!$I$12:$J$14,2,FALSE))</f>
        <v xml:space="preserve"> </v>
      </c>
      <c r="I268" s="335"/>
      <c r="J268" s="10" t="str">
        <f>+IF(K268=""," ",VLOOKUP(K268,PUC!$B:$C,2,FALSE))</f>
        <v xml:space="preserve"> </v>
      </c>
      <c r="K268" s="335"/>
      <c r="L268" s="11" t="str">
        <f>+IF(M268=""," ",VLOOKUP(M268,Listas!$F$9:$G$17,2,FALSE))</f>
        <v>03</v>
      </c>
      <c r="M268" s="357" t="s">
        <v>446</v>
      </c>
      <c r="N268" s="346"/>
      <c r="O268" s="15"/>
      <c r="P268" s="16"/>
      <c r="Q268" s="16"/>
      <c r="R268" s="16"/>
      <c r="S268" s="16"/>
      <c r="T268" s="16"/>
      <c r="U268" s="16"/>
      <c r="V268" s="16"/>
      <c r="W268" s="16"/>
      <c r="X268" s="16"/>
      <c r="Y268" s="16"/>
      <c r="Z268" s="17"/>
    </row>
    <row r="269" spans="1:26" s="59" customFormat="1" ht="29.25" customHeight="1" thickBot="1">
      <c r="A269" s="8"/>
      <c r="B269" s="11" t="str">
        <f>+IFERROR(VLOOKUP(C269,Listas!$L$8:$M$101,2,FALSE),"")</f>
        <v>10050102</v>
      </c>
      <c r="C269" s="335" t="s">
        <v>483</v>
      </c>
      <c r="D269" s="273"/>
      <c r="E269" s="274"/>
      <c r="F269" s="629"/>
      <c r="G269" s="401" t="s">
        <v>1171</v>
      </c>
      <c r="H269" s="9" t="str">
        <f>+IF(I269=""," ",VLOOKUP(I269,Listas!$I$12:$J$14,2,FALSE))</f>
        <v xml:space="preserve"> </v>
      </c>
      <c r="I269" s="335"/>
      <c r="J269" s="10" t="str">
        <f>+IF(K269=""," ",VLOOKUP(K269,PUC!$B:$C,2,FALSE))</f>
        <v xml:space="preserve"> </v>
      </c>
      <c r="K269" s="335"/>
      <c r="L269" s="11" t="str">
        <f>+IF(M269=""," ",VLOOKUP(M269,Listas!$F$9:$G$17,2,FALSE))</f>
        <v>03</v>
      </c>
      <c r="M269" s="357" t="s">
        <v>446</v>
      </c>
      <c r="N269" s="346"/>
      <c r="O269" s="15"/>
      <c r="P269" s="16"/>
      <c r="Q269" s="16"/>
      <c r="R269" s="16"/>
      <c r="S269" s="16"/>
      <c r="T269" s="16"/>
      <c r="U269" s="16"/>
      <c r="V269" s="16"/>
      <c r="W269" s="16"/>
      <c r="X269" s="16"/>
      <c r="Y269" s="16"/>
      <c r="Z269" s="17"/>
    </row>
    <row r="270" spans="1:26" s="59" customFormat="1" ht="29.25" hidden="1" customHeight="1">
      <c r="A270" s="8"/>
      <c r="B270" s="11" t="str">
        <f>+IFERROR(VLOOKUP(C270,Listas!$L$8:$M$101,2,FALSE),"")</f>
        <v>10050102</v>
      </c>
      <c r="C270" s="335" t="s">
        <v>483</v>
      </c>
      <c r="D270" s="273"/>
      <c r="E270" s="274"/>
      <c r="F270" s="273"/>
      <c r="G270" s="274"/>
      <c r="H270" s="9" t="str">
        <f>+IF(I270=""," ",VLOOKUP(I270,Listas!$I$12:$J$14,2,FALSE))</f>
        <v xml:space="preserve"> </v>
      </c>
      <c r="I270" s="335"/>
      <c r="J270" s="10" t="str">
        <f>+IF(K270=""," ",VLOOKUP(K270,PUC!$B:$C,2,FALSE))</f>
        <v xml:space="preserve"> </v>
      </c>
      <c r="K270" s="335"/>
      <c r="L270" s="11" t="str">
        <f>+IF(M270=""," ",VLOOKUP(M270,Listas!$F$9:$G$17,2,FALSE))</f>
        <v>03</v>
      </c>
      <c r="M270" s="357" t="s">
        <v>446</v>
      </c>
      <c r="N270" s="346"/>
      <c r="O270" s="15"/>
      <c r="P270" s="16"/>
      <c r="Q270" s="16"/>
      <c r="R270" s="16"/>
      <c r="S270" s="16"/>
      <c r="T270" s="16"/>
      <c r="U270" s="16"/>
      <c r="V270" s="16"/>
      <c r="W270" s="16"/>
      <c r="X270" s="16"/>
      <c r="Y270" s="16"/>
      <c r="Z270" s="17"/>
    </row>
    <row r="271" spans="1:26" s="59" customFormat="1" ht="29.25" hidden="1" customHeight="1">
      <c r="A271" s="8"/>
      <c r="B271" s="11" t="str">
        <f>+IFERROR(VLOOKUP(C271,Listas!$L$8:$M$101,2,FALSE),"")</f>
        <v>10050102</v>
      </c>
      <c r="C271" s="335" t="s">
        <v>483</v>
      </c>
      <c r="D271" s="273"/>
      <c r="E271" s="274"/>
      <c r="F271" s="273"/>
      <c r="G271" s="274"/>
      <c r="H271" s="9" t="str">
        <f>+IF(I271=""," ",VLOOKUP(I271,Listas!$I$12:$J$14,2,FALSE))</f>
        <v xml:space="preserve"> </v>
      </c>
      <c r="I271" s="335"/>
      <c r="J271" s="10" t="str">
        <f>+IF(K271=""," ",VLOOKUP(K271,PUC!$B:$C,2,FALSE))</f>
        <v xml:space="preserve"> </v>
      </c>
      <c r="K271" s="335"/>
      <c r="L271" s="11" t="str">
        <f>+IF(M271=""," ",VLOOKUP(M271,Listas!$F$9:$G$17,2,FALSE))</f>
        <v>03</v>
      </c>
      <c r="M271" s="357" t="s">
        <v>446</v>
      </c>
      <c r="N271" s="346"/>
      <c r="O271" s="15"/>
      <c r="P271" s="16"/>
      <c r="Q271" s="16"/>
      <c r="R271" s="16"/>
      <c r="S271" s="16"/>
      <c r="T271" s="16"/>
      <c r="U271" s="16"/>
      <c r="V271" s="16"/>
      <c r="W271" s="16"/>
      <c r="X271" s="16"/>
      <c r="Y271" s="16"/>
      <c r="Z271" s="17"/>
    </row>
    <row r="272" spans="1:26" s="59" customFormat="1" ht="29.25" hidden="1" customHeight="1">
      <c r="A272" s="8"/>
      <c r="B272" s="11" t="str">
        <f>+IFERROR(VLOOKUP(C272,Listas!$L$8:$M$101,2,FALSE),"")</f>
        <v>10050102</v>
      </c>
      <c r="C272" s="335" t="s">
        <v>483</v>
      </c>
      <c r="D272" s="273"/>
      <c r="E272" s="274"/>
      <c r="F272" s="273"/>
      <c r="G272" s="274"/>
      <c r="H272" s="9" t="str">
        <f>+IF(I272=""," ",VLOOKUP(I272,Listas!$I$12:$J$14,2,FALSE))</f>
        <v xml:space="preserve"> </v>
      </c>
      <c r="I272" s="335"/>
      <c r="J272" s="10" t="str">
        <f>+IF(K272=""," ",VLOOKUP(K272,PUC!$B:$C,2,FALSE))</f>
        <v xml:space="preserve"> </v>
      </c>
      <c r="K272" s="335"/>
      <c r="L272" s="11" t="str">
        <f>+IF(M272=""," ",VLOOKUP(M272,Listas!$F$9:$G$17,2,FALSE))</f>
        <v>03</v>
      </c>
      <c r="M272" s="357" t="s">
        <v>446</v>
      </c>
      <c r="N272" s="346"/>
      <c r="O272" s="15"/>
      <c r="P272" s="16"/>
      <c r="Q272" s="16"/>
      <c r="R272" s="16"/>
      <c r="S272" s="16"/>
      <c r="T272" s="16"/>
      <c r="U272" s="16"/>
      <c r="V272" s="16"/>
      <c r="W272" s="16"/>
      <c r="X272" s="16"/>
      <c r="Y272" s="16"/>
      <c r="Z272" s="17"/>
    </row>
    <row r="273" spans="1:26" s="59" customFormat="1" ht="29.25" hidden="1" customHeight="1">
      <c r="A273" s="8"/>
      <c r="B273" s="11" t="str">
        <f>+IFERROR(VLOOKUP(C273,Listas!$L$8:$M$101,2,FALSE),"")</f>
        <v>10050102</v>
      </c>
      <c r="C273" s="335" t="s">
        <v>483</v>
      </c>
      <c r="D273" s="273"/>
      <c r="E273" s="274"/>
      <c r="F273" s="273"/>
      <c r="G273" s="274"/>
      <c r="H273" s="9" t="str">
        <f>+IF(I273=""," ",VLOOKUP(I273,Listas!$I$12:$J$14,2,FALSE))</f>
        <v xml:space="preserve"> </v>
      </c>
      <c r="I273" s="335"/>
      <c r="J273" s="10" t="str">
        <f>+IF(K273=""," ",VLOOKUP(K273,PUC!$B:$C,2,FALSE))</f>
        <v xml:space="preserve"> </v>
      </c>
      <c r="K273" s="335"/>
      <c r="L273" s="11" t="str">
        <f>+IF(M273=""," ",VLOOKUP(M273,Listas!$F$9:$G$17,2,FALSE))</f>
        <v>03</v>
      </c>
      <c r="M273" s="357" t="s">
        <v>446</v>
      </c>
      <c r="N273" s="346"/>
      <c r="O273" s="15"/>
      <c r="P273" s="16"/>
      <c r="Q273" s="16"/>
      <c r="R273" s="16"/>
      <c r="S273" s="16"/>
      <c r="T273" s="16"/>
      <c r="U273" s="16"/>
      <c r="V273" s="16"/>
      <c r="W273" s="16"/>
      <c r="X273" s="16"/>
      <c r="Y273" s="16"/>
      <c r="Z273" s="17"/>
    </row>
    <row r="274" spans="1:26" s="59" customFormat="1" ht="29.25" hidden="1" customHeight="1">
      <c r="A274" s="8"/>
      <c r="B274" s="11" t="str">
        <f>+IFERROR(VLOOKUP(C274,Listas!$L$8:$M$101,2,FALSE),"")</f>
        <v>10050102</v>
      </c>
      <c r="C274" s="335" t="s">
        <v>483</v>
      </c>
      <c r="D274" s="273"/>
      <c r="E274" s="274"/>
      <c r="F274" s="273"/>
      <c r="G274" s="274"/>
      <c r="H274" s="9" t="str">
        <f>+IF(I274=""," ",VLOOKUP(I274,Listas!$I$12:$J$14,2,FALSE))</f>
        <v xml:space="preserve"> </v>
      </c>
      <c r="I274" s="335"/>
      <c r="J274" s="10" t="str">
        <f>+IF(K274=""," ",VLOOKUP(K274,PUC!$B:$C,2,FALSE))</f>
        <v xml:space="preserve"> </v>
      </c>
      <c r="K274" s="335"/>
      <c r="L274" s="11" t="str">
        <f>+IF(M274=""," ",VLOOKUP(M274,Listas!$F$9:$G$17,2,FALSE))</f>
        <v>03</v>
      </c>
      <c r="M274" s="357" t="s">
        <v>446</v>
      </c>
      <c r="N274" s="346"/>
      <c r="O274" s="15"/>
      <c r="P274" s="16"/>
      <c r="Q274" s="16"/>
      <c r="R274" s="16"/>
      <c r="S274" s="16"/>
      <c r="T274" s="16"/>
      <c r="U274" s="16"/>
      <c r="V274" s="16"/>
      <c r="W274" s="16"/>
      <c r="X274" s="16"/>
      <c r="Y274" s="16"/>
      <c r="Z274" s="17"/>
    </row>
    <row r="275" spans="1:26" s="59" customFormat="1" ht="29.25" hidden="1" customHeight="1">
      <c r="A275" s="8"/>
      <c r="B275" s="11" t="str">
        <f>+IFERROR(VLOOKUP(C275,Listas!$L$8:$M$101,2,FALSE),"")</f>
        <v>10050102</v>
      </c>
      <c r="C275" s="335" t="s">
        <v>483</v>
      </c>
      <c r="D275" s="273"/>
      <c r="E275" s="274"/>
      <c r="F275" s="273"/>
      <c r="G275" s="274"/>
      <c r="H275" s="9" t="str">
        <f>+IF(I275=""," ",VLOOKUP(I275,Listas!$I$12:$J$14,2,FALSE))</f>
        <v xml:space="preserve"> </v>
      </c>
      <c r="I275" s="335"/>
      <c r="J275" s="10" t="str">
        <f>+IF(K275=""," ",VLOOKUP(K275,PUC!$B:$C,2,FALSE))</f>
        <v xml:space="preserve"> </v>
      </c>
      <c r="K275" s="335"/>
      <c r="L275" s="11" t="str">
        <f>+IF(M275=""," ",VLOOKUP(M275,Listas!$F$9:$G$17,2,FALSE))</f>
        <v>03</v>
      </c>
      <c r="M275" s="357" t="s">
        <v>446</v>
      </c>
      <c r="N275" s="346"/>
      <c r="O275" s="15"/>
      <c r="P275" s="16"/>
      <c r="Q275" s="16"/>
      <c r="R275" s="16"/>
      <c r="S275" s="16"/>
      <c r="T275" s="16"/>
      <c r="U275" s="16"/>
      <c r="V275" s="16"/>
      <c r="W275" s="16"/>
      <c r="X275" s="16"/>
      <c r="Y275" s="16"/>
      <c r="Z275" s="17"/>
    </row>
    <row r="276" spans="1:26" s="59" customFormat="1" ht="29.25" hidden="1" customHeight="1">
      <c r="A276" s="8"/>
      <c r="B276" s="11" t="str">
        <f>+IFERROR(VLOOKUP(C276,Listas!$L$8:$M$101,2,FALSE),"")</f>
        <v>10050102</v>
      </c>
      <c r="C276" s="335" t="s">
        <v>483</v>
      </c>
      <c r="D276" s="273"/>
      <c r="E276" s="274"/>
      <c r="F276" s="273"/>
      <c r="G276" s="274"/>
      <c r="H276" s="9" t="str">
        <f>+IF(I276=""," ",VLOOKUP(I276,Listas!$I$12:$J$14,2,FALSE))</f>
        <v xml:space="preserve"> </v>
      </c>
      <c r="I276" s="335"/>
      <c r="J276" s="10" t="str">
        <f>+IF(K276=""," ",VLOOKUP(K276,PUC!$B:$C,2,FALSE))</f>
        <v xml:space="preserve"> </v>
      </c>
      <c r="K276" s="335"/>
      <c r="L276" s="11" t="str">
        <f>+IF(M276=""," ",VLOOKUP(M276,Listas!$F$9:$G$17,2,FALSE))</f>
        <v>03</v>
      </c>
      <c r="M276" s="357" t="s">
        <v>446</v>
      </c>
      <c r="N276" s="346"/>
      <c r="O276" s="15"/>
      <c r="P276" s="16"/>
      <c r="Q276" s="16"/>
      <c r="R276" s="16"/>
      <c r="S276" s="16"/>
      <c r="T276" s="16"/>
      <c r="U276" s="16"/>
      <c r="V276" s="16"/>
      <c r="W276" s="16"/>
      <c r="X276" s="16"/>
      <c r="Y276" s="16"/>
      <c r="Z276" s="17"/>
    </row>
    <row r="277" spans="1:26" s="59" customFormat="1" ht="29.25" hidden="1" customHeight="1">
      <c r="A277" s="8"/>
      <c r="B277" s="11" t="str">
        <f>+IFERROR(VLOOKUP(C277,Listas!$L$8:$M$101,2,FALSE),"")</f>
        <v>10050102</v>
      </c>
      <c r="C277" s="335" t="s">
        <v>483</v>
      </c>
      <c r="D277" s="273"/>
      <c r="E277" s="274"/>
      <c r="F277" s="273"/>
      <c r="G277" s="274"/>
      <c r="H277" s="9" t="str">
        <f>+IF(I277=""," ",VLOOKUP(I277,Listas!$I$12:$J$14,2,FALSE))</f>
        <v xml:space="preserve"> </v>
      </c>
      <c r="I277" s="335"/>
      <c r="J277" s="10" t="str">
        <f>+IF(K277=""," ",VLOOKUP(K277,PUC!$B:$C,2,FALSE))</f>
        <v xml:space="preserve"> </v>
      </c>
      <c r="K277" s="335"/>
      <c r="L277" s="11" t="str">
        <f>+IF(M277=""," ",VLOOKUP(M277,Listas!$F$9:$G$17,2,FALSE))</f>
        <v>03</v>
      </c>
      <c r="M277" s="357" t="s">
        <v>446</v>
      </c>
      <c r="N277" s="346"/>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35" t="s">
        <v>483</v>
      </c>
      <c r="D278" s="273"/>
      <c r="E278" s="274"/>
      <c r="F278" s="273"/>
      <c r="G278" s="274"/>
      <c r="H278" s="9" t="str">
        <f>+IF(I278=""," ",VLOOKUP(I278,Listas!$I$12:$J$14,2,FALSE))</f>
        <v xml:space="preserve"> </v>
      </c>
      <c r="I278" s="335"/>
      <c r="J278" s="10" t="str">
        <f>+IF(K278=""," ",VLOOKUP(K278,PUC!$B:$C,2,FALSE))</f>
        <v xml:space="preserve"> </v>
      </c>
      <c r="K278" s="335"/>
      <c r="L278" s="11" t="str">
        <f>+IF(M278=""," ",VLOOKUP(M278,Listas!$F$9:$G$17,2,FALSE))</f>
        <v>03</v>
      </c>
      <c r="M278" s="357" t="s">
        <v>446</v>
      </c>
      <c r="N278" s="346"/>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35" t="s">
        <v>483</v>
      </c>
      <c r="D279" s="273"/>
      <c r="E279" s="274"/>
      <c r="F279" s="273"/>
      <c r="G279" s="274"/>
      <c r="H279" s="9" t="str">
        <f>+IF(I279=""," ",VLOOKUP(I279,Listas!$I$12:$J$14,2,FALSE))</f>
        <v xml:space="preserve"> </v>
      </c>
      <c r="I279" s="335"/>
      <c r="J279" s="10" t="str">
        <f>+IF(K279=""," ",VLOOKUP(K279,PUC!$B:$C,2,FALSE))</f>
        <v xml:space="preserve"> </v>
      </c>
      <c r="K279" s="335"/>
      <c r="L279" s="11" t="str">
        <f>+IF(M279=""," ",VLOOKUP(M279,Listas!$F$9:$G$17,2,FALSE))</f>
        <v>03</v>
      </c>
      <c r="M279" s="357" t="s">
        <v>446</v>
      </c>
      <c r="N279" s="346"/>
      <c r="O279" s="15"/>
      <c r="P279" s="16"/>
      <c r="Q279" s="16"/>
      <c r="R279" s="16"/>
      <c r="S279" s="16"/>
      <c r="T279" s="16"/>
      <c r="U279" s="16"/>
      <c r="V279" s="16"/>
      <c r="W279" s="16"/>
      <c r="X279" s="16"/>
      <c r="Y279" s="16"/>
      <c r="Z279" s="17"/>
    </row>
    <row r="280" spans="1:26" s="59" customFormat="1" ht="29.25" hidden="1" customHeight="1" thickBot="1">
      <c r="A280" s="8"/>
      <c r="B280" s="28" t="str">
        <f>+IFERROR(VLOOKUP(C280,Listas!$L$8:$M$101,2,FALSE),"")</f>
        <v>10050102</v>
      </c>
      <c r="C280" s="342" t="s">
        <v>483</v>
      </c>
      <c r="D280" s="277"/>
      <c r="E280" s="278"/>
      <c r="F280" s="277"/>
      <c r="G280" s="278"/>
      <c r="H280" s="26" t="str">
        <f>+IF(I280=""," ",VLOOKUP(I280,Listas!$I$12:$J$14,2,FALSE))</f>
        <v xml:space="preserve"> </v>
      </c>
      <c r="I280" s="342"/>
      <c r="J280" s="27" t="str">
        <f>+IF(K280=""," ",VLOOKUP(K280,PUC!$B:$C,2,FALSE))</f>
        <v xml:space="preserve"> </v>
      </c>
      <c r="K280" s="342"/>
      <c r="L280" s="28" t="str">
        <f>+IF(M280=""," ",VLOOKUP(M280,Listas!$F$9:$G$17,2,FALSE))</f>
        <v>03</v>
      </c>
      <c r="M280" s="360" t="s">
        <v>446</v>
      </c>
      <c r="N280" s="349"/>
      <c r="O280" s="23"/>
      <c r="P280" s="24"/>
      <c r="Q280" s="24"/>
      <c r="R280" s="24"/>
      <c r="S280" s="24"/>
      <c r="T280" s="24"/>
      <c r="U280" s="24"/>
      <c r="V280" s="24"/>
      <c r="W280" s="24"/>
      <c r="X280" s="24"/>
      <c r="Y280" s="24"/>
      <c r="Z280" s="25"/>
    </row>
    <row r="281" spans="1:26" s="59" customFormat="1" ht="29.25" customHeight="1">
      <c r="A281" s="8"/>
      <c r="B281" s="20" t="str">
        <f>+IFERROR(VLOOKUP(C281,Listas!$L$8:$M$101,2,FALSE),"")</f>
        <v>10060101</v>
      </c>
      <c r="C281" s="340" t="s">
        <v>488</v>
      </c>
      <c r="D281" s="275"/>
      <c r="E281" s="276"/>
      <c r="F281" s="374" t="s">
        <v>1180</v>
      </c>
      <c r="G281" s="402" t="s">
        <v>1181</v>
      </c>
      <c r="H281" s="18" t="str">
        <f>+IF(I281=""," ",VLOOKUP(I281,Listas!$I$8:$J$10,2,FALSE))</f>
        <v xml:space="preserve"> </v>
      </c>
      <c r="I281" s="340"/>
      <c r="J281" s="375" t="str">
        <f>+IF(K281=""," ",VLOOKUP(K281,PUC!$B:$C,2,FALSE))</f>
        <v xml:space="preserve"> </v>
      </c>
      <c r="K281" s="340"/>
      <c r="L281" s="20" t="str">
        <f>+IF(M281=""," ",VLOOKUP(M281,Listas!$F$9:$G$17,2,FALSE))</f>
        <v>02</v>
      </c>
      <c r="M281" s="358" t="s">
        <v>444</v>
      </c>
      <c r="N281" s="414"/>
      <c r="O281" s="12"/>
      <c r="P281" s="13"/>
      <c r="Q281" s="13"/>
      <c r="R281" s="13"/>
      <c r="S281" s="13"/>
      <c r="T281" s="13"/>
      <c r="U281" s="13"/>
      <c r="V281" s="13"/>
      <c r="W281" s="13"/>
      <c r="X281" s="13"/>
      <c r="Y281" s="13"/>
      <c r="Z281" s="14"/>
    </row>
    <row r="282" spans="1:26" s="59" customFormat="1" ht="51">
      <c r="A282" s="8"/>
      <c r="B282" s="11" t="str">
        <f>+IFERROR(VLOOKUP(C282,Listas!$L$8:$M$101,2,FALSE),"")</f>
        <v>10060101</v>
      </c>
      <c r="C282" s="335" t="s">
        <v>488</v>
      </c>
      <c r="D282" s="273"/>
      <c r="E282" s="274"/>
      <c r="F282" s="621" t="s">
        <v>1182</v>
      </c>
      <c r="G282" s="401" t="s">
        <v>1183</v>
      </c>
      <c r="H282" s="9" t="str">
        <f>+IF(I282=""," ",VLOOKUP(I282,Listas!$I$8:$J$10,2,FALSE))</f>
        <v>02</v>
      </c>
      <c r="I282" s="335" t="s">
        <v>464</v>
      </c>
      <c r="J282" s="369" t="str">
        <f>+IF(K282=""," ",VLOOKUP(K282,PUC!$B:$C,2,FALSE))</f>
        <v xml:space="preserve"> </v>
      </c>
      <c r="K282" s="335"/>
      <c r="L282" s="11" t="str">
        <f>+IF(M282=""," ",VLOOKUP(M282,Listas!$F$9:$G$17,2,FALSE))</f>
        <v>02</v>
      </c>
      <c r="M282" s="357" t="s">
        <v>444</v>
      </c>
      <c r="N282" s="415"/>
      <c r="O282" s="15"/>
      <c r="P282" s="16"/>
      <c r="Q282" s="16"/>
      <c r="R282" s="16"/>
      <c r="S282" s="16"/>
      <c r="T282" s="16"/>
      <c r="U282" s="16"/>
      <c r="V282" s="16"/>
      <c r="W282" s="16"/>
      <c r="X282" s="16"/>
      <c r="Y282" s="16"/>
      <c r="Z282" s="17"/>
    </row>
    <row r="283" spans="1:26" s="59" customFormat="1" ht="51.75" thickBot="1">
      <c r="A283" s="8"/>
      <c r="B283" s="11" t="str">
        <f>+IFERROR(VLOOKUP(C283,Listas!$L$8:$M$101,2,FALSE),"")</f>
        <v>10060101</v>
      </c>
      <c r="C283" s="335" t="s">
        <v>488</v>
      </c>
      <c r="D283" s="273"/>
      <c r="E283" s="274"/>
      <c r="F283" s="623"/>
      <c r="G283" s="401" t="s">
        <v>1184</v>
      </c>
      <c r="H283" s="9" t="str">
        <f>+IF(I283=""," ",VLOOKUP(I283,Listas!$I$8:$J$10,2,FALSE))</f>
        <v xml:space="preserve"> </v>
      </c>
      <c r="I283" s="335"/>
      <c r="J283" s="369" t="str">
        <f>+IF(K283=""," ",VLOOKUP(K283,PUC!$B:$C,2,FALSE))</f>
        <v xml:space="preserve"> </v>
      </c>
      <c r="K283" s="335"/>
      <c r="L283" s="11" t="str">
        <f>+IF(M283=""," ",VLOOKUP(M283,Listas!$F$9:$G$17,2,FALSE))</f>
        <v>02</v>
      </c>
      <c r="M283" s="357" t="s">
        <v>444</v>
      </c>
      <c r="N283" s="415"/>
      <c r="O283" s="15"/>
      <c r="P283" s="16"/>
      <c r="Q283" s="16"/>
      <c r="R283" s="16"/>
      <c r="S283" s="16"/>
      <c r="T283" s="16"/>
      <c r="U283" s="16"/>
      <c r="V283" s="16"/>
      <c r="W283" s="16"/>
      <c r="X283" s="16"/>
      <c r="Y283" s="16"/>
      <c r="Z283" s="17"/>
    </row>
    <row r="284" spans="1:26" s="59" customFormat="1" ht="29.25" hidden="1" customHeight="1">
      <c r="A284" s="8"/>
      <c r="B284" s="11" t="str">
        <f>+IFERROR(VLOOKUP(C284,Listas!$L$8:$M$101,2,FALSE),"")</f>
        <v>10060101</v>
      </c>
      <c r="C284" s="335" t="s">
        <v>488</v>
      </c>
      <c r="D284" s="273"/>
      <c r="E284" s="274"/>
      <c r="F284" s="370"/>
      <c r="G284" s="401"/>
      <c r="H284" s="9" t="str">
        <f>+IF(I284=""," ",VLOOKUP(I284,Listas!$I$8:$J$10,2,FALSE))</f>
        <v xml:space="preserve"> </v>
      </c>
      <c r="I284" s="335"/>
      <c r="J284" s="369" t="str">
        <f>+IF(K284=""," ",VLOOKUP(K284,PUC!$B:$C,2,FALSE))</f>
        <v xml:space="preserve"> </v>
      </c>
      <c r="K284" s="335"/>
      <c r="L284" s="11" t="str">
        <f>+IF(M284=""," ",VLOOKUP(M284,Listas!$F$9:$G$17,2,FALSE))</f>
        <v>02</v>
      </c>
      <c r="M284" s="357" t="s">
        <v>444</v>
      </c>
      <c r="N284" s="415"/>
      <c r="O284" s="15"/>
      <c r="P284" s="16"/>
      <c r="Q284" s="16"/>
      <c r="R284" s="16"/>
      <c r="S284" s="16"/>
      <c r="T284" s="16"/>
      <c r="U284" s="16"/>
      <c r="V284" s="16"/>
      <c r="W284" s="16"/>
      <c r="X284" s="16"/>
      <c r="Y284" s="16"/>
      <c r="Z284" s="17"/>
    </row>
    <row r="285" spans="1:26" s="59" customFormat="1" ht="29.25" hidden="1" customHeight="1">
      <c r="A285" s="8"/>
      <c r="B285" s="11" t="str">
        <f>+IFERROR(VLOOKUP(C285,Listas!$L$8:$M$101,2,FALSE),"")</f>
        <v>10060101</v>
      </c>
      <c r="C285" s="335" t="s">
        <v>488</v>
      </c>
      <c r="D285" s="273"/>
      <c r="E285" s="274"/>
      <c r="F285" s="370"/>
      <c r="G285" s="401"/>
      <c r="H285" s="9" t="str">
        <f>+IF(I285=""," ",VLOOKUP(I285,Listas!$I$8:$J$10,2,FALSE))</f>
        <v xml:space="preserve"> </v>
      </c>
      <c r="I285" s="335"/>
      <c r="J285" s="369" t="str">
        <f>+IF(K285=""," ",VLOOKUP(K285,PUC!$B:$C,2,FALSE))</f>
        <v xml:space="preserve"> </v>
      </c>
      <c r="K285" s="335"/>
      <c r="L285" s="11" t="str">
        <f>+IF(M285=""," ",VLOOKUP(M285,Listas!$F$9:$G$17,2,FALSE))</f>
        <v>02</v>
      </c>
      <c r="M285" s="357" t="s">
        <v>444</v>
      </c>
      <c r="N285" s="415"/>
      <c r="O285" s="15"/>
      <c r="P285" s="16"/>
      <c r="Q285" s="16"/>
      <c r="R285" s="16"/>
      <c r="S285" s="16"/>
      <c r="T285" s="16"/>
      <c r="U285" s="16"/>
      <c r="V285" s="16"/>
      <c r="W285" s="16"/>
      <c r="X285" s="16"/>
      <c r="Y285" s="16"/>
      <c r="Z285" s="17"/>
    </row>
    <row r="286" spans="1:26" s="59" customFormat="1" ht="29.25" hidden="1" customHeight="1">
      <c r="A286" s="8"/>
      <c r="B286" s="11" t="str">
        <f>+IFERROR(VLOOKUP(C286,Listas!$L$8:$M$101,2,FALSE),"")</f>
        <v>10060101</v>
      </c>
      <c r="C286" s="335" t="s">
        <v>488</v>
      </c>
      <c r="D286" s="273"/>
      <c r="E286" s="274"/>
      <c r="F286" s="370"/>
      <c r="G286" s="401"/>
      <c r="H286" s="9" t="str">
        <f>+IF(I286=""," ",VLOOKUP(I286,Listas!$I$8:$J$10,2,FALSE))</f>
        <v xml:space="preserve"> </v>
      </c>
      <c r="I286" s="335"/>
      <c r="J286" s="369" t="str">
        <f>+IF(K286=""," ",VLOOKUP(K286,PUC!$B:$C,2,FALSE))</f>
        <v xml:space="preserve"> </v>
      </c>
      <c r="K286" s="335"/>
      <c r="L286" s="11" t="str">
        <f>+IF(M286=""," ",VLOOKUP(M286,Listas!$F$9:$G$17,2,FALSE))</f>
        <v>02</v>
      </c>
      <c r="M286" s="357" t="s">
        <v>444</v>
      </c>
      <c r="N286" s="415"/>
      <c r="O286" s="15"/>
      <c r="P286" s="16"/>
      <c r="Q286" s="16"/>
      <c r="R286" s="16"/>
      <c r="S286" s="16"/>
      <c r="T286" s="16"/>
      <c r="U286" s="16"/>
      <c r="V286" s="16"/>
      <c r="W286" s="16"/>
      <c r="X286" s="16"/>
      <c r="Y286" s="16"/>
      <c r="Z286" s="17"/>
    </row>
    <row r="287" spans="1:26" s="59" customFormat="1" ht="29.25" hidden="1" customHeight="1">
      <c r="A287" s="8"/>
      <c r="B287" s="11" t="str">
        <f>+IFERROR(VLOOKUP(C287,Listas!$L$8:$M$101,2,FALSE),"")</f>
        <v>10060101</v>
      </c>
      <c r="C287" s="335" t="s">
        <v>488</v>
      </c>
      <c r="D287" s="273"/>
      <c r="E287" s="274"/>
      <c r="F287" s="273"/>
      <c r="G287" s="274"/>
      <c r="H287" s="9" t="str">
        <f>+IF(I287=""," ",VLOOKUP(I287,Listas!$I$8:$J$10,2,FALSE))</f>
        <v xml:space="preserve"> </v>
      </c>
      <c r="I287" s="335"/>
      <c r="J287" s="369" t="str">
        <f>+IF(K287=""," ",VLOOKUP(K287,PUC!$B:$C,2,FALSE))</f>
        <v xml:space="preserve"> </v>
      </c>
      <c r="K287" s="335"/>
      <c r="L287" s="11" t="str">
        <f>+IF(M287=""," ",VLOOKUP(M287,Listas!$F$9:$G$17,2,FALSE))</f>
        <v>02</v>
      </c>
      <c r="M287" s="357" t="s">
        <v>444</v>
      </c>
      <c r="N287" s="415"/>
      <c r="O287" s="15"/>
      <c r="P287" s="16"/>
      <c r="Q287" s="16"/>
      <c r="R287" s="16"/>
      <c r="S287" s="16"/>
      <c r="T287" s="16"/>
      <c r="U287" s="16"/>
      <c r="V287" s="16"/>
      <c r="W287" s="16"/>
      <c r="X287" s="16"/>
      <c r="Y287" s="16"/>
      <c r="Z287" s="17"/>
    </row>
    <row r="288" spans="1:26" s="59" customFormat="1" ht="29.25" hidden="1" customHeight="1">
      <c r="A288" s="8"/>
      <c r="B288" s="11" t="str">
        <f>+IFERROR(VLOOKUP(C288,Listas!$L$8:$M$101,2,FALSE),"")</f>
        <v>10060101</v>
      </c>
      <c r="C288" s="335" t="s">
        <v>488</v>
      </c>
      <c r="D288" s="273"/>
      <c r="E288" s="274"/>
      <c r="F288" s="273"/>
      <c r="G288" s="274"/>
      <c r="H288" s="9" t="str">
        <f>+IF(I288=""," ",VLOOKUP(I288,Listas!$I$8:$J$10,2,FALSE))</f>
        <v xml:space="preserve"> </v>
      </c>
      <c r="I288" s="335"/>
      <c r="J288" s="369" t="str">
        <f>+IF(K288=""," ",VLOOKUP(K288,PUC!$B:$C,2,FALSE))</f>
        <v xml:space="preserve"> </v>
      </c>
      <c r="K288" s="335"/>
      <c r="L288" s="11" t="str">
        <f>+IF(M288=""," ",VLOOKUP(M288,Listas!$F$9:$G$17,2,FALSE))</f>
        <v>02</v>
      </c>
      <c r="M288" s="357" t="s">
        <v>444</v>
      </c>
      <c r="N288" s="415"/>
      <c r="O288" s="15"/>
      <c r="P288" s="16"/>
      <c r="Q288" s="16"/>
      <c r="R288" s="16"/>
      <c r="S288" s="16"/>
      <c r="T288" s="16"/>
      <c r="U288" s="16"/>
      <c r="V288" s="16"/>
      <c r="W288" s="16"/>
      <c r="X288" s="16"/>
      <c r="Y288" s="16"/>
      <c r="Z288" s="17"/>
    </row>
    <row r="289" spans="1:26" s="59" customFormat="1" ht="29.25" hidden="1" customHeight="1" thickBot="1">
      <c r="A289" s="8"/>
      <c r="B289" s="22" t="str">
        <f>+IFERROR(VLOOKUP(C289,Listas!$L$8:$M$101,2,FALSE),"")</f>
        <v>10060101</v>
      </c>
      <c r="C289" s="341" t="s">
        <v>488</v>
      </c>
      <c r="D289" s="277"/>
      <c r="E289" s="278"/>
      <c r="F289" s="277"/>
      <c r="G289" s="278"/>
      <c r="H289" s="21" t="str">
        <f>+IF(I289=""," ",VLOOKUP(I289,Listas!$I$8:$J$10,2,FALSE))</f>
        <v xml:space="preserve"> </v>
      </c>
      <c r="I289" s="341"/>
      <c r="J289" s="376" t="str">
        <f>+IF(K289=""," ",VLOOKUP(K289,PUC!$B:$C,2,FALSE))</f>
        <v xml:space="preserve"> </v>
      </c>
      <c r="K289" s="341"/>
      <c r="L289" s="22" t="str">
        <f>+IF(M289=""," ",VLOOKUP(M289,Listas!$F$9:$G$17,2,FALSE))</f>
        <v>02</v>
      </c>
      <c r="M289" s="359" t="s">
        <v>444</v>
      </c>
      <c r="N289" s="416"/>
      <c r="O289" s="23"/>
      <c r="P289" s="24"/>
      <c r="Q289" s="24"/>
      <c r="R289" s="24"/>
      <c r="S289" s="24"/>
      <c r="T289" s="24"/>
      <c r="U289" s="24"/>
      <c r="V289" s="24"/>
      <c r="W289" s="24"/>
      <c r="X289" s="24"/>
      <c r="Y289" s="24"/>
      <c r="Z289" s="25"/>
    </row>
    <row r="290" spans="1:26" s="59" customFormat="1" ht="51">
      <c r="A290" s="8"/>
      <c r="B290" s="20" t="str">
        <f>+IFERROR(VLOOKUP(C290,Listas!$L$8:$M$101,2,FALSE),"")</f>
        <v>10070101</v>
      </c>
      <c r="C290" s="340" t="s">
        <v>491</v>
      </c>
      <c r="D290" s="275"/>
      <c r="E290" s="276"/>
      <c r="F290" s="630" t="s">
        <v>1185</v>
      </c>
      <c r="G290" s="402" t="s">
        <v>1186</v>
      </c>
      <c r="H290" s="18" t="str">
        <f>+IF(I290=""," ",VLOOKUP(I290,Listas!$I$8:$J$10,2,FALSE))</f>
        <v xml:space="preserve"> </v>
      </c>
      <c r="I290" s="340"/>
      <c r="J290" s="375" t="str">
        <f>+IF(K290=""," ",VLOOKUP(K290,PUC!$B:$C,2,FALSE))</f>
        <v xml:space="preserve"> </v>
      </c>
      <c r="K290" s="340"/>
      <c r="L290" s="20" t="str">
        <f>+IF(M290=""," ",VLOOKUP(M290,Listas!$F$9:$G$17,2,FALSE))</f>
        <v>09</v>
      </c>
      <c r="M290" s="358" t="s">
        <v>458</v>
      </c>
      <c r="N290" s="347"/>
      <c r="O290" s="12"/>
      <c r="P290" s="13"/>
      <c r="Q290" s="13"/>
      <c r="R290" s="13"/>
      <c r="S290" s="13"/>
      <c r="T290" s="13"/>
      <c r="U290" s="13"/>
      <c r="V290" s="13"/>
      <c r="W290" s="13"/>
      <c r="X290" s="13"/>
      <c r="Y290" s="13"/>
      <c r="Z290" s="14"/>
    </row>
    <row r="291" spans="1:26" s="59" customFormat="1" ht="51">
      <c r="A291" s="8"/>
      <c r="B291" s="11" t="str">
        <f>+IFERROR(VLOOKUP(C291,Listas!$L$8:$M$101,2,FALSE),"")</f>
        <v>10070101</v>
      </c>
      <c r="C291" s="335" t="s">
        <v>491</v>
      </c>
      <c r="D291" s="273"/>
      <c r="E291" s="274"/>
      <c r="F291" s="623"/>
      <c r="G291" s="401" t="s">
        <v>1187</v>
      </c>
      <c r="H291" s="9" t="str">
        <f>+IF(I291=""," ",VLOOKUP(I291,Listas!$I$8:$J$10,2,FALSE))</f>
        <v xml:space="preserve"> </v>
      </c>
      <c r="I291" s="335"/>
      <c r="J291" s="369" t="str">
        <f>+IF(K291=""," ",VLOOKUP(K291,PUC!$B:$C,2,FALSE))</f>
        <v xml:space="preserve"> </v>
      </c>
      <c r="K291" s="335"/>
      <c r="L291" s="11" t="str">
        <f>+IF(M291=""," ",VLOOKUP(M291,Listas!$F$9:$G$17,2,FALSE))</f>
        <v>09</v>
      </c>
      <c r="M291" s="357" t="s">
        <v>458</v>
      </c>
      <c r="N291" s="346"/>
      <c r="O291" s="15"/>
      <c r="P291" s="16"/>
      <c r="Q291" s="16"/>
      <c r="R291" s="16"/>
      <c r="S291" s="16"/>
      <c r="T291" s="16"/>
      <c r="U291" s="16"/>
      <c r="V291" s="16"/>
      <c r="W291" s="16"/>
      <c r="X291" s="16"/>
      <c r="Y291" s="16"/>
      <c r="Z291" s="17"/>
    </row>
    <row r="292" spans="1:26" s="59" customFormat="1" ht="51">
      <c r="A292" s="8"/>
      <c r="B292" s="11" t="str">
        <f>+IFERROR(VLOOKUP(C292,Listas!$L$8:$M$101,2,FALSE),"")</f>
        <v>10070101</v>
      </c>
      <c r="C292" s="335" t="s">
        <v>491</v>
      </c>
      <c r="D292" s="273"/>
      <c r="E292" s="274"/>
      <c r="F292" s="621" t="s">
        <v>1188</v>
      </c>
      <c r="G292" s="401" t="s">
        <v>1189</v>
      </c>
      <c r="H292" s="9" t="str">
        <f>+IF(I292=""," ",VLOOKUP(I292,Listas!$I$8:$J$10,2,FALSE))</f>
        <v xml:space="preserve"> </v>
      </c>
      <c r="I292" s="335"/>
      <c r="J292" s="369" t="str">
        <f>+IF(K292=""," ",VLOOKUP(K292,PUC!$B:$C,2,FALSE))</f>
        <v xml:space="preserve"> </v>
      </c>
      <c r="K292" s="335"/>
      <c r="L292" s="11" t="str">
        <f>+IF(M292=""," ",VLOOKUP(M292,Listas!$F$9:$G$17,2,FALSE))</f>
        <v>09</v>
      </c>
      <c r="M292" s="357" t="s">
        <v>458</v>
      </c>
      <c r="N292" s="346"/>
      <c r="O292" s="15"/>
      <c r="P292" s="16"/>
      <c r="Q292" s="16"/>
      <c r="R292" s="16"/>
      <c r="S292" s="16"/>
      <c r="T292" s="16"/>
      <c r="U292" s="16"/>
      <c r="V292" s="16"/>
      <c r="W292" s="16"/>
      <c r="X292" s="16"/>
      <c r="Y292" s="16"/>
      <c r="Z292" s="17"/>
    </row>
    <row r="293" spans="1:26" s="59" customFormat="1" ht="51">
      <c r="A293" s="8"/>
      <c r="B293" s="11" t="str">
        <f>+IFERROR(VLOOKUP(C293,Listas!$L$8:$M$101,2,FALSE),"")</f>
        <v>10070101</v>
      </c>
      <c r="C293" s="335" t="s">
        <v>491</v>
      </c>
      <c r="D293" s="273"/>
      <c r="E293" s="274"/>
      <c r="F293" s="623"/>
      <c r="G293" s="401" t="s">
        <v>1190</v>
      </c>
      <c r="H293" s="9" t="str">
        <f>+IF(I293=""," ",VLOOKUP(I293,Listas!$I$8:$J$10,2,FALSE))</f>
        <v xml:space="preserve"> </v>
      </c>
      <c r="I293" s="335"/>
      <c r="J293" s="369" t="str">
        <f>+IF(K293=""," ",VLOOKUP(K293,PUC!$B:$C,2,FALSE))</f>
        <v xml:space="preserve"> </v>
      </c>
      <c r="K293" s="335"/>
      <c r="L293" s="11" t="str">
        <f>+IF(M293=""," ",VLOOKUP(M293,Listas!$F$9:$G$17,2,FALSE))</f>
        <v>09</v>
      </c>
      <c r="M293" s="357" t="s">
        <v>458</v>
      </c>
      <c r="N293" s="346"/>
      <c r="O293" s="15"/>
      <c r="P293" s="16"/>
      <c r="Q293" s="16"/>
      <c r="R293" s="16"/>
      <c r="S293" s="16"/>
      <c r="T293" s="16"/>
      <c r="U293" s="16"/>
      <c r="V293" s="16"/>
      <c r="W293" s="16"/>
      <c r="X293" s="16"/>
      <c r="Y293" s="16"/>
      <c r="Z293" s="17"/>
    </row>
    <row r="294" spans="1:26" s="59" customFormat="1" ht="38.25" customHeight="1">
      <c r="A294" s="8"/>
      <c r="B294" s="11" t="str">
        <f>+IFERROR(VLOOKUP(C294,Listas!$L$8:$M$101,2,FALSE),"")</f>
        <v>10070101</v>
      </c>
      <c r="C294" s="335" t="s">
        <v>491</v>
      </c>
      <c r="D294" s="273"/>
      <c r="E294" s="274"/>
      <c r="F294" s="621" t="s">
        <v>1191</v>
      </c>
      <c r="G294" s="401" t="s">
        <v>1192</v>
      </c>
      <c r="H294" s="9" t="str">
        <f>+IF(I294=""," ",VLOOKUP(I294,Listas!$I$8:$J$10,2,FALSE))</f>
        <v xml:space="preserve"> </v>
      </c>
      <c r="I294" s="335"/>
      <c r="J294" s="369" t="str">
        <f>+IF(K294=""," ",VLOOKUP(K294,PUC!$B:$C,2,FALSE))</f>
        <v xml:space="preserve"> </v>
      </c>
      <c r="K294" s="335"/>
      <c r="L294" s="11" t="str">
        <f>+IF(M294=""," ",VLOOKUP(M294,Listas!$F$9:$G$17,2,FALSE))</f>
        <v>09</v>
      </c>
      <c r="M294" s="357" t="s">
        <v>458</v>
      </c>
      <c r="N294" s="346"/>
      <c r="O294" s="15"/>
      <c r="P294" s="16"/>
      <c r="Q294" s="16"/>
      <c r="R294" s="16"/>
      <c r="S294" s="16"/>
      <c r="T294" s="16"/>
      <c r="U294" s="16"/>
      <c r="V294" s="16"/>
      <c r="W294" s="16"/>
      <c r="X294" s="16"/>
      <c r="Y294" s="16"/>
      <c r="Z294" s="17"/>
    </row>
    <row r="295" spans="1:26" s="59" customFormat="1" ht="51">
      <c r="A295" s="8"/>
      <c r="B295" s="11" t="str">
        <f>+IFERROR(VLOOKUP(C295,Listas!$L$8:$M$101,2,FALSE),"")</f>
        <v>10070101</v>
      </c>
      <c r="C295" s="335" t="s">
        <v>491</v>
      </c>
      <c r="D295" s="273"/>
      <c r="E295" s="274"/>
      <c r="F295" s="623"/>
      <c r="G295" s="401" t="s">
        <v>1193</v>
      </c>
      <c r="H295" s="9" t="str">
        <f>+IF(I295=""," ",VLOOKUP(I295,Listas!$I$8:$J$10,2,FALSE))</f>
        <v xml:space="preserve"> </v>
      </c>
      <c r="I295" s="335"/>
      <c r="J295" s="369" t="str">
        <f>+IF(K295=""," ",VLOOKUP(K295,PUC!$B:$C,2,FALSE))</f>
        <v xml:space="preserve"> </v>
      </c>
      <c r="K295" s="335"/>
      <c r="L295" s="11" t="str">
        <f>+IF(M295=""," ",VLOOKUP(M295,Listas!$F$9:$G$17,2,FALSE))</f>
        <v>09</v>
      </c>
      <c r="M295" s="357" t="s">
        <v>458</v>
      </c>
      <c r="N295" s="346"/>
      <c r="O295" s="15"/>
      <c r="P295" s="16"/>
      <c r="Q295" s="16"/>
      <c r="R295" s="16"/>
      <c r="S295" s="16"/>
      <c r="T295" s="16"/>
      <c r="U295" s="16"/>
      <c r="V295" s="16"/>
      <c r="W295" s="16"/>
      <c r="X295" s="16"/>
      <c r="Y295" s="16"/>
      <c r="Z295" s="17"/>
    </row>
    <row r="296" spans="1:26" s="59" customFormat="1" ht="51">
      <c r="A296" s="8"/>
      <c r="B296" s="11" t="str">
        <f>+IFERROR(VLOOKUP(C296,Listas!$L$8:$M$101,2,FALSE),"")</f>
        <v>10070101</v>
      </c>
      <c r="C296" s="335" t="s">
        <v>491</v>
      </c>
      <c r="D296" s="273"/>
      <c r="E296" s="274"/>
      <c r="F296" s="370" t="s">
        <v>1194</v>
      </c>
      <c r="G296" s="401" t="s">
        <v>1195</v>
      </c>
      <c r="H296" s="9" t="str">
        <f>+IF(I296=""," ",VLOOKUP(I296,Listas!$I$8:$J$10,2,FALSE))</f>
        <v xml:space="preserve"> </v>
      </c>
      <c r="I296" s="335"/>
      <c r="J296" s="369" t="str">
        <f>+IF(K296=""," ",VLOOKUP(K296,PUC!$B:$C,2,FALSE))</f>
        <v xml:space="preserve"> </v>
      </c>
      <c r="K296" s="335"/>
      <c r="L296" s="11" t="str">
        <f>+IF(M296=""," ",VLOOKUP(M296,Listas!$F$9:$G$17,2,FALSE))</f>
        <v>09</v>
      </c>
      <c r="M296" s="357" t="s">
        <v>458</v>
      </c>
      <c r="N296" s="346"/>
      <c r="O296" s="15"/>
      <c r="P296" s="16"/>
      <c r="Q296" s="16"/>
      <c r="R296" s="16"/>
      <c r="S296" s="16"/>
      <c r="T296" s="16"/>
      <c r="U296" s="16"/>
      <c r="V296" s="16"/>
      <c r="W296" s="16"/>
      <c r="X296" s="16"/>
      <c r="Y296" s="16"/>
      <c r="Z296" s="17"/>
    </row>
    <row r="297" spans="1:26" s="59" customFormat="1" ht="51">
      <c r="A297" s="8"/>
      <c r="B297" s="11" t="str">
        <f>+IFERROR(VLOOKUP(C297,Listas!$L$8:$M$101,2,FALSE),"")</f>
        <v>10070101</v>
      </c>
      <c r="C297" s="335" t="s">
        <v>491</v>
      </c>
      <c r="D297" s="273"/>
      <c r="E297" s="274"/>
      <c r="F297" s="621" t="s">
        <v>1196</v>
      </c>
      <c r="G297" s="401" t="s">
        <v>1197</v>
      </c>
      <c r="H297" s="9" t="str">
        <f>+IF(I297=""," ",VLOOKUP(I297,Listas!$I$8:$J$10,2,FALSE))</f>
        <v xml:space="preserve"> </v>
      </c>
      <c r="I297" s="335"/>
      <c r="J297" s="369" t="str">
        <f>+IF(K297=""," ",VLOOKUP(K297,PUC!$B:$C,2,FALSE))</f>
        <v xml:space="preserve"> </v>
      </c>
      <c r="K297" s="335"/>
      <c r="L297" s="11" t="str">
        <f>+IF(M297=""," ",VLOOKUP(M297,Listas!$F$9:$G$17,2,FALSE))</f>
        <v>09</v>
      </c>
      <c r="M297" s="357" t="s">
        <v>458</v>
      </c>
      <c r="N297" s="346"/>
      <c r="O297" s="15"/>
      <c r="P297" s="16"/>
      <c r="Q297" s="16"/>
      <c r="R297" s="16"/>
      <c r="S297" s="16"/>
      <c r="T297" s="16"/>
      <c r="U297" s="16"/>
      <c r="V297" s="16"/>
      <c r="W297" s="16"/>
      <c r="X297" s="16"/>
      <c r="Y297" s="16"/>
      <c r="Z297" s="17"/>
    </row>
    <row r="298" spans="1:26" s="59" customFormat="1" ht="51">
      <c r="A298" s="8"/>
      <c r="B298" s="11" t="str">
        <f>+IFERROR(VLOOKUP(C298,Listas!$L$8:$M$101,2,FALSE),"")</f>
        <v>10070101</v>
      </c>
      <c r="C298" s="335" t="s">
        <v>491</v>
      </c>
      <c r="D298" s="273"/>
      <c r="E298" s="274"/>
      <c r="F298" s="623"/>
      <c r="G298" s="401" t="s">
        <v>1198</v>
      </c>
      <c r="H298" s="9" t="str">
        <f>+IF(I298=""," ",VLOOKUP(I298,Listas!$I$8:$J$10,2,FALSE))</f>
        <v xml:space="preserve"> </v>
      </c>
      <c r="I298" s="335"/>
      <c r="J298" s="369" t="str">
        <f>+IF(K298=""," ",VLOOKUP(K298,PUC!$B:$C,2,FALSE))</f>
        <v xml:space="preserve"> </v>
      </c>
      <c r="K298" s="335"/>
      <c r="L298" s="11" t="str">
        <f>+IF(M298=""," ",VLOOKUP(M298,Listas!$F$9:$G$17,2,FALSE))</f>
        <v>09</v>
      </c>
      <c r="M298" s="357" t="s">
        <v>458</v>
      </c>
      <c r="N298" s="346"/>
      <c r="O298" s="15"/>
      <c r="P298" s="16"/>
      <c r="Q298" s="16"/>
      <c r="R298" s="16"/>
      <c r="S298" s="16"/>
      <c r="T298" s="16"/>
      <c r="U298" s="16"/>
      <c r="V298" s="16"/>
      <c r="W298" s="16"/>
      <c r="X298" s="16"/>
      <c r="Y298" s="16"/>
      <c r="Z298" s="17"/>
    </row>
    <row r="299" spans="1:26" s="59" customFormat="1" ht="63.75">
      <c r="A299" s="8"/>
      <c r="B299" s="11" t="str">
        <f>+IFERROR(VLOOKUP(C299,Listas!$L$8:$M$101,2,FALSE),"")</f>
        <v>10070101</v>
      </c>
      <c r="C299" s="335" t="s">
        <v>491</v>
      </c>
      <c r="D299" s="273"/>
      <c r="E299" s="274"/>
      <c r="F299" s="370" t="s">
        <v>1199</v>
      </c>
      <c r="G299" s="401" t="s">
        <v>1200</v>
      </c>
      <c r="H299" s="9" t="str">
        <f>+IF(I299=""," ",VLOOKUP(I299,Listas!$I$8:$J$10,2,FALSE))</f>
        <v xml:space="preserve"> </v>
      </c>
      <c r="I299" s="335"/>
      <c r="J299" s="369" t="str">
        <f>+IF(K299=""," ",VLOOKUP(K299,PUC!$B:$C,2,FALSE))</f>
        <v xml:space="preserve"> </v>
      </c>
      <c r="K299" s="335"/>
      <c r="L299" s="11" t="str">
        <f>+IF(M299=""," ",VLOOKUP(M299,Listas!$F$9:$G$17,2,FALSE))</f>
        <v>09</v>
      </c>
      <c r="M299" s="357" t="s">
        <v>458</v>
      </c>
      <c r="N299" s="346"/>
      <c r="O299" s="15"/>
      <c r="P299" s="16"/>
      <c r="Q299" s="16"/>
      <c r="R299" s="16"/>
      <c r="S299" s="16"/>
      <c r="T299" s="16"/>
      <c r="U299" s="16"/>
      <c r="V299" s="16"/>
      <c r="W299" s="16"/>
      <c r="X299" s="16"/>
      <c r="Y299" s="16"/>
      <c r="Z299" s="17"/>
    </row>
    <row r="300" spans="1:26" s="59" customFormat="1" ht="29.25" customHeight="1">
      <c r="A300" s="8"/>
      <c r="B300" s="11" t="str">
        <f>+IFERROR(VLOOKUP(C300,Listas!$L$8:$M$101,2,FALSE),"")</f>
        <v>10070101</v>
      </c>
      <c r="C300" s="335" t="s">
        <v>491</v>
      </c>
      <c r="D300" s="273"/>
      <c r="E300" s="274"/>
      <c r="F300" s="370"/>
      <c r="G300" s="401"/>
      <c r="H300" s="9" t="str">
        <f>+IF(I300=""," ",VLOOKUP(I300,Listas!$I$8:$J$10,2,FALSE))</f>
        <v xml:space="preserve"> </v>
      </c>
      <c r="I300" s="335"/>
      <c r="J300" s="369" t="str">
        <f>+IF(K300=""," ",VLOOKUP(K300,PUC!$B:$C,2,FALSE))</f>
        <v xml:space="preserve"> </v>
      </c>
      <c r="K300" s="335"/>
      <c r="L300" s="11" t="str">
        <f>+IF(M300=""," ",VLOOKUP(M300,Listas!$F$9:$G$17,2,FALSE))</f>
        <v>09</v>
      </c>
      <c r="M300" s="357" t="s">
        <v>458</v>
      </c>
      <c r="N300" s="346"/>
      <c r="O300" s="15"/>
      <c r="P300" s="16"/>
      <c r="Q300" s="16"/>
      <c r="R300" s="16"/>
      <c r="S300" s="16"/>
      <c r="T300" s="16"/>
      <c r="U300" s="16"/>
      <c r="V300" s="16"/>
      <c r="W300" s="16"/>
      <c r="X300" s="16"/>
      <c r="Y300" s="16"/>
      <c r="Z300" s="17"/>
    </row>
    <row r="301" spans="1:26" s="59" customFormat="1" ht="29.25" customHeight="1">
      <c r="A301" s="8"/>
      <c r="B301" s="11" t="str">
        <f>+IFERROR(VLOOKUP(C301,Listas!$L$8:$M$101,2,FALSE),"")</f>
        <v>10070101</v>
      </c>
      <c r="C301" s="335" t="s">
        <v>491</v>
      </c>
      <c r="D301" s="273"/>
      <c r="E301" s="274"/>
      <c r="F301" s="370"/>
      <c r="G301" s="417" t="s">
        <v>1201</v>
      </c>
      <c r="H301" s="418" t="str">
        <f>+IF(I301=""," ",VLOOKUP(I301,Listas!$I$8:$J$10,2,FALSE))</f>
        <v>02</v>
      </c>
      <c r="I301" s="419" t="s">
        <v>464</v>
      </c>
      <c r="J301" s="420">
        <f>+IF(K301=""," ",VLOOKUP(K301,PUC!$B:$C,2,FALSE))</f>
        <v>6208020505</v>
      </c>
      <c r="K301" s="419" t="s">
        <v>804</v>
      </c>
      <c r="L301" s="421" t="str">
        <f>+IF(M301=""," ",VLOOKUP(M301,Listas!$F$9:$G$17,2,FALSE))</f>
        <v>09</v>
      </c>
      <c r="M301" s="422" t="s">
        <v>458</v>
      </c>
      <c r="N301" s="423">
        <v>400000</v>
      </c>
      <c r="O301" s="15"/>
      <c r="P301" s="16"/>
      <c r="Q301" s="16"/>
      <c r="R301" s="16"/>
      <c r="S301" s="16"/>
      <c r="T301" s="16"/>
      <c r="U301" s="16"/>
      <c r="V301" s="16"/>
      <c r="W301" s="16"/>
      <c r="X301" s="16"/>
      <c r="Y301" s="16"/>
      <c r="Z301" s="17"/>
    </row>
    <row r="302" spans="1:26" s="59" customFormat="1" ht="29.25" customHeight="1">
      <c r="A302" s="8"/>
      <c r="B302" s="11" t="str">
        <f>+IFERROR(VLOOKUP(C302,Listas!$L$8:$M$101,2,FALSE),"")</f>
        <v>10070101</v>
      </c>
      <c r="C302" s="335" t="s">
        <v>491</v>
      </c>
      <c r="D302" s="273"/>
      <c r="E302" s="274"/>
      <c r="F302" s="370"/>
      <c r="G302" s="417"/>
      <c r="H302" s="418" t="str">
        <f>+IF(I302=""," ",VLOOKUP(I302,Listas!$I$8:$J$10,2,FALSE))</f>
        <v>02</v>
      </c>
      <c r="I302" s="419" t="s">
        <v>464</v>
      </c>
      <c r="J302" s="420">
        <f>+IF(K302=""," ",VLOOKUP(K302,PUC!$B:$C,2,FALSE))</f>
        <v>6208022001</v>
      </c>
      <c r="K302" s="419" t="s">
        <v>801</v>
      </c>
      <c r="L302" s="421" t="str">
        <f>+IF(M302=""," ",VLOOKUP(M302,Listas!$F$9:$G$17,2,FALSE))</f>
        <v>09</v>
      </c>
      <c r="M302" s="422" t="s">
        <v>458</v>
      </c>
      <c r="N302" s="423">
        <v>300000</v>
      </c>
      <c r="O302" s="15"/>
      <c r="P302" s="16"/>
      <c r="Q302" s="16"/>
      <c r="R302" s="16"/>
      <c r="S302" s="16"/>
      <c r="T302" s="16"/>
      <c r="U302" s="16"/>
      <c r="V302" s="16"/>
      <c r="W302" s="16"/>
      <c r="X302" s="16"/>
      <c r="Y302" s="16"/>
      <c r="Z302" s="17"/>
    </row>
    <row r="303" spans="1:26" s="59" customFormat="1" ht="29.25" customHeight="1">
      <c r="A303" s="8"/>
      <c r="B303" s="11" t="str">
        <f>+IFERROR(VLOOKUP(C303,Listas!$L$8:$M$101,2,FALSE),"")</f>
        <v>10070101</v>
      </c>
      <c r="C303" s="335" t="s">
        <v>491</v>
      </c>
      <c r="D303" s="273"/>
      <c r="E303" s="274"/>
      <c r="F303" s="370"/>
      <c r="G303" s="417"/>
      <c r="H303" s="418" t="str">
        <f>+IF(I303=""," ",VLOOKUP(I303,Listas!$I$8:$J$10,2,FALSE))</f>
        <v>02</v>
      </c>
      <c r="I303" s="419" t="s">
        <v>464</v>
      </c>
      <c r="J303" s="420">
        <f>+IF(K303=""," ",VLOOKUP(K303,PUC!$B:$C,2,FALSE))</f>
        <v>6208021401</v>
      </c>
      <c r="K303" s="419" t="s">
        <v>868</v>
      </c>
      <c r="L303" s="421" t="str">
        <f>+IF(M303=""," ",VLOOKUP(M303,Listas!$F$9:$G$17,2,FALSE))</f>
        <v>09</v>
      </c>
      <c r="M303" s="422" t="s">
        <v>458</v>
      </c>
      <c r="N303" s="423">
        <v>200000</v>
      </c>
      <c r="O303" s="15"/>
      <c r="P303" s="16"/>
      <c r="Q303" s="16"/>
      <c r="R303" s="16"/>
      <c r="S303" s="16"/>
      <c r="T303" s="16"/>
      <c r="U303" s="16"/>
      <c r="V303" s="16"/>
      <c r="W303" s="16"/>
      <c r="X303" s="16"/>
      <c r="Y303" s="16"/>
      <c r="Z303" s="17"/>
    </row>
    <row r="304" spans="1:26" s="59" customFormat="1" ht="29.25" customHeight="1">
      <c r="A304" s="8"/>
      <c r="B304" s="11" t="str">
        <f>+IFERROR(VLOOKUP(C304,Listas!$L$8:$M$101,2,FALSE),"")</f>
        <v>10070101</v>
      </c>
      <c r="C304" s="335" t="s">
        <v>491</v>
      </c>
      <c r="D304" s="273"/>
      <c r="E304" s="274"/>
      <c r="F304" s="370"/>
      <c r="G304" s="417" t="s">
        <v>1202</v>
      </c>
      <c r="H304" s="418" t="str">
        <f>+IF(I304=""," ",VLOOKUP(I304,Listas!$I$8:$J$10,2,FALSE))</f>
        <v>02</v>
      </c>
      <c r="I304" s="419" t="s">
        <v>464</v>
      </c>
      <c r="J304" s="420">
        <f>+IF(K304=""," ",VLOOKUP(K304,PUC!$B:$C,2,FALSE))</f>
        <v>6208020505</v>
      </c>
      <c r="K304" s="419" t="s">
        <v>804</v>
      </c>
      <c r="L304" s="421" t="str">
        <f>+IF(M304=""," ",VLOOKUP(M304,Listas!$F$9:$G$17,2,FALSE))</f>
        <v>09</v>
      </c>
      <c r="M304" s="422" t="s">
        <v>458</v>
      </c>
      <c r="N304" s="423"/>
      <c r="O304" s="15"/>
      <c r="P304" s="16"/>
      <c r="Q304" s="16"/>
      <c r="R304" s="16"/>
      <c r="S304" s="16"/>
      <c r="T304" s="16"/>
      <c r="U304" s="16"/>
      <c r="V304" s="16"/>
      <c r="W304" s="16"/>
      <c r="X304" s="16"/>
      <c r="Y304" s="16"/>
      <c r="Z304" s="17"/>
    </row>
    <row r="305" spans="1:26" s="59" customFormat="1" ht="29.25" customHeight="1">
      <c r="A305" s="8"/>
      <c r="B305" s="11" t="str">
        <f>+IFERROR(VLOOKUP(C305,Listas!$L$8:$M$101,2,FALSE),"")</f>
        <v>10070101</v>
      </c>
      <c r="C305" s="335" t="s">
        <v>491</v>
      </c>
      <c r="D305" s="273"/>
      <c r="E305" s="274"/>
      <c r="F305" s="370"/>
      <c r="G305" s="417"/>
      <c r="H305" s="418" t="str">
        <f>+IF(I305=""," ",VLOOKUP(I305,Listas!$I$8:$J$10,2,FALSE))</f>
        <v>02</v>
      </c>
      <c r="I305" s="419" t="s">
        <v>464</v>
      </c>
      <c r="J305" s="420">
        <f>+IF(K305=""," ",VLOOKUP(K305,PUC!$B:$C,2,FALSE))</f>
        <v>6208022001</v>
      </c>
      <c r="K305" s="419" t="s">
        <v>801</v>
      </c>
      <c r="L305" s="421" t="str">
        <f>+IF(M305=""," ",VLOOKUP(M305,Listas!$F$9:$G$17,2,FALSE))</f>
        <v>09</v>
      </c>
      <c r="M305" s="422" t="s">
        <v>458</v>
      </c>
      <c r="N305" s="423"/>
      <c r="O305" s="15"/>
      <c r="P305" s="16"/>
      <c r="Q305" s="16"/>
      <c r="R305" s="16"/>
      <c r="S305" s="16"/>
      <c r="T305" s="16"/>
      <c r="U305" s="16"/>
      <c r="V305" s="16"/>
      <c r="W305" s="16"/>
      <c r="X305" s="16"/>
      <c r="Y305" s="16"/>
      <c r="Z305" s="17"/>
    </row>
    <row r="306" spans="1:26" s="59" customFormat="1" ht="29.25" customHeight="1">
      <c r="A306" s="8"/>
      <c r="B306" s="11" t="str">
        <f>+IFERROR(VLOOKUP(C306,Listas!$L$8:$M$101,2,FALSE),"")</f>
        <v>10070101</v>
      </c>
      <c r="C306" s="335" t="s">
        <v>491</v>
      </c>
      <c r="D306" s="273"/>
      <c r="E306" s="274"/>
      <c r="F306" s="370"/>
      <c r="G306" s="417"/>
      <c r="H306" s="418" t="str">
        <f>+IF(I306=""," ",VLOOKUP(I306,Listas!$I$8:$J$10,2,FALSE))</f>
        <v>02</v>
      </c>
      <c r="I306" s="419" t="s">
        <v>464</v>
      </c>
      <c r="J306" s="420">
        <f>+IF(K306=""," ",VLOOKUP(K306,PUC!$B:$C,2,FALSE))</f>
        <v>6208021401</v>
      </c>
      <c r="K306" s="419" t="s">
        <v>868</v>
      </c>
      <c r="L306" s="421" t="str">
        <f>+IF(M306=""," ",VLOOKUP(M306,Listas!$F$9:$G$17,2,FALSE))</f>
        <v>09</v>
      </c>
      <c r="M306" s="422" t="s">
        <v>458</v>
      </c>
      <c r="N306" s="423"/>
      <c r="O306" s="15"/>
      <c r="P306" s="16"/>
      <c r="Q306" s="16"/>
      <c r="R306" s="16"/>
      <c r="S306" s="16"/>
      <c r="T306" s="16"/>
      <c r="U306" s="16"/>
      <c r="V306" s="16"/>
      <c r="W306" s="16"/>
      <c r="X306" s="16"/>
      <c r="Y306" s="16"/>
      <c r="Z306" s="17"/>
    </row>
    <row r="307" spans="1:26" s="59" customFormat="1" ht="29.25" customHeight="1">
      <c r="A307" s="8"/>
      <c r="B307" s="11" t="str">
        <f>+IFERROR(VLOOKUP(C307,Listas!$L$8:$M$101,2,FALSE),"")</f>
        <v>10070101</v>
      </c>
      <c r="C307" s="335" t="s">
        <v>491</v>
      </c>
      <c r="D307" s="273"/>
      <c r="E307" s="274"/>
      <c r="F307" s="370"/>
      <c r="G307" s="417" t="s">
        <v>1203</v>
      </c>
      <c r="H307" s="418" t="str">
        <f>+IF(I307=""," ",VLOOKUP(I307,Listas!$I$8:$J$10,2,FALSE))</f>
        <v>02</v>
      </c>
      <c r="I307" s="419" t="s">
        <v>464</v>
      </c>
      <c r="J307" s="420">
        <f>+IF(K307=""," ",VLOOKUP(K307,PUC!$B:$C,2,FALSE))</f>
        <v>6208020505</v>
      </c>
      <c r="K307" s="419" t="s">
        <v>804</v>
      </c>
      <c r="L307" s="421" t="str">
        <f>+IF(M307=""," ",VLOOKUP(M307,Listas!$F$9:$G$17,2,FALSE))</f>
        <v>09</v>
      </c>
      <c r="M307" s="422" t="s">
        <v>458</v>
      </c>
      <c r="N307" s="423"/>
      <c r="O307" s="15"/>
      <c r="P307" s="16"/>
      <c r="Q307" s="16"/>
      <c r="R307" s="16"/>
      <c r="S307" s="16"/>
      <c r="T307" s="16"/>
      <c r="U307" s="16"/>
      <c r="V307" s="16"/>
      <c r="W307" s="16"/>
      <c r="X307" s="16"/>
      <c r="Y307" s="16"/>
      <c r="Z307" s="17"/>
    </row>
    <row r="308" spans="1:26" s="59" customFormat="1" ht="29.25" customHeight="1">
      <c r="A308" s="8"/>
      <c r="B308" s="11" t="str">
        <f>+IFERROR(VLOOKUP(C308,Listas!$L$8:$M$101,2,FALSE),"")</f>
        <v>10070101</v>
      </c>
      <c r="C308" s="335" t="s">
        <v>491</v>
      </c>
      <c r="D308" s="273"/>
      <c r="E308" s="274"/>
      <c r="F308" s="370"/>
      <c r="G308" s="417"/>
      <c r="H308" s="418" t="str">
        <f>+IF(I308=""," ",VLOOKUP(I308,Listas!$I$8:$J$10,2,FALSE))</f>
        <v>02</v>
      </c>
      <c r="I308" s="419" t="s">
        <v>464</v>
      </c>
      <c r="J308" s="420">
        <f>+IF(K308=""," ",VLOOKUP(K308,PUC!$B:$C,2,FALSE))</f>
        <v>6208022001</v>
      </c>
      <c r="K308" s="419" t="s">
        <v>801</v>
      </c>
      <c r="L308" s="421" t="str">
        <f>+IF(M308=""," ",VLOOKUP(M308,Listas!$F$9:$G$17,2,FALSE))</f>
        <v>09</v>
      </c>
      <c r="M308" s="422" t="s">
        <v>458</v>
      </c>
      <c r="N308" s="423"/>
      <c r="O308" s="15"/>
      <c r="P308" s="16"/>
      <c r="Q308" s="16"/>
      <c r="R308" s="16"/>
      <c r="S308" s="16"/>
      <c r="T308" s="16"/>
      <c r="U308" s="16"/>
      <c r="V308" s="16"/>
      <c r="W308" s="16"/>
      <c r="X308" s="16"/>
      <c r="Y308" s="16"/>
      <c r="Z308" s="17"/>
    </row>
    <row r="309" spans="1:26" s="59" customFormat="1" ht="29.25" customHeight="1">
      <c r="A309" s="8"/>
      <c r="B309" s="11" t="str">
        <f>+IFERROR(VLOOKUP(C309,Listas!$L$8:$M$101,2,FALSE),"")</f>
        <v>10070101</v>
      </c>
      <c r="C309" s="335" t="s">
        <v>491</v>
      </c>
      <c r="D309" s="273"/>
      <c r="E309" s="274"/>
      <c r="F309" s="370"/>
      <c r="G309" s="417"/>
      <c r="H309" s="418" t="str">
        <f>+IF(I309=""," ",VLOOKUP(I309,Listas!$I$8:$J$10,2,FALSE))</f>
        <v>02</v>
      </c>
      <c r="I309" s="419" t="s">
        <v>464</v>
      </c>
      <c r="J309" s="420">
        <f>+IF(K309=""," ",VLOOKUP(K309,PUC!$B:$C,2,FALSE))</f>
        <v>6208021401</v>
      </c>
      <c r="K309" s="419" t="s">
        <v>868</v>
      </c>
      <c r="L309" s="421" t="str">
        <f>+IF(M309=""," ",VLOOKUP(M309,Listas!$F$9:$G$17,2,FALSE))</f>
        <v>09</v>
      </c>
      <c r="M309" s="422" t="s">
        <v>458</v>
      </c>
      <c r="N309" s="423"/>
      <c r="O309" s="15"/>
      <c r="P309" s="16"/>
      <c r="Q309" s="16"/>
      <c r="R309" s="16"/>
      <c r="S309" s="16"/>
      <c r="T309" s="16"/>
      <c r="U309" s="16"/>
      <c r="V309" s="16"/>
      <c r="W309" s="16"/>
      <c r="X309" s="16"/>
      <c r="Y309" s="16"/>
      <c r="Z309" s="17"/>
    </row>
    <row r="310" spans="1:26" s="59" customFormat="1" ht="29.25" customHeight="1">
      <c r="A310" s="8"/>
      <c r="B310" s="11" t="str">
        <f>+IFERROR(VLOOKUP(C310,Listas!$L$8:$M$101,2,FALSE),"")</f>
        <v>10070101</v>
      </c>
      <c r="C310" s="335" t="s">
        <v>491</v>
      </c>
      <c r="D310" s="273"/>
      <c r="E310" s="274"/>
      <c r="F310" s="370"/>
      <c r="G310" s="417" t="s">
        <v>1204</v>
      </c>
      <c r="H310" s="418" t="str">
        <f>+IF(I310=""," ",VLOOKUP(I310,Listas!$I$8:$J$10,2,FALSE))</f>
        <v>02</v>
      </c>
      <c r="I310" s="419" t="s">
        <v>464</v>
      </c>
      <c r="J310" s="420">
        <f>+IF(K310=""," ",VLOOKUP(K310,PUC!$B:$C,2,FALSE))</f>
        <v>6208020505</v>
      </c>
      <c r="K310" s="419" t="s">
        <v>804</v>
      </c>
      <c r="L310" s="421" t="str">
        <f>+IF(M310=""," ",VLOOKUP(M310,Listas!$F$9:$G$17,2,FALSE))</f>
        <v>09</v>
      </c>
      <c r="M310" s="422" t="s">
        <v>458</v>
      </c>
      <c r="N310" s="423"/>
      <c r="O310" s="15"/>
      <c r="P310" s="16"/>
      <c r="Q310" s="16"/>
      <c r="R310" s="16"/>
      <c r="S310" s="16"/>
      <c r="T310" s="16"/>
      <c r="U310" s="16"/>
      <c r="V310" s="16"/>
      <c r="W310" s="16"/>
      <c r="X310" s="16"/>
      <c r="Y310" s="16"/>
      <c r="Z310" s="17"/>
    </row>
    <row r="311" spans="1:26" s="59" customFormat="1" ht="29.25" customHeight="1">
      <c r="A311" s="8"/>
      <c r="B311" s="11" t="str">
        <f>+IFERROR(VLOOKUP(C311,Listas!$L$8:$M$101,2,FALSE),"")</f>
        <v>10070101</v>
      </c>
      <c r="C311" s="335" t="s">
        <v>491</v>
      </c>
      <c r="D311" s="273"/>
      <c r="E311" s="274"/>
      <c r="F311" s="370"/>
      <c r="G311" s="417"/>
      <c r="H311" s="418" t="str">
        <f>+IF(I311=""," ",VLOOKUP(I311,Listas!$I$8:$J$10,2,FALSE))</f>
        <v>02</v>
      </c>
      <c r="I311" s="419" t="s">
        <v>464</v>
      </c>
      <c r="J311" s="420">
        <f>+IF(K311=""," ",VLOOKUP(K311,PUC!$B:$C,2,FALSE))</f>
        <v>6208022001</v>
      </c>
      <c r="K311" s="419" t="s">
        <v>801</v>
      </c>
      <c r="L311" s="421" t="str">
        <f>+IF(M311=""," ",VLOOKUP(M311,Listas!$F$9:$G$17,2,FALSE))</f>
        <v>09</v>
      </c>
      <c r="M311" s="422" t="s">
        <v>458</v>
      </c>
      <c r="N311" s="423"/>
      <c r="O311" s="15"/>
      <c r="P311" s="16"/>
      <c r="Q311" s="16"/>
      <c r="R311" s="16"/>
      <c r="S311" s="16"/>
      <c r="T311" s="16"/>
      <c r="U311" s="16"/>
      <c r="V311" s="16"/>
      <c r="W311" s="16"/>
      <c r="X311" s="16"/>
      <c r="Y311" s="16"/>
      <c r="Z311" s="17"/>
    </row>
    <row r="312" spans="1:26" s="59" customFormat="1" ht="29.25" customHeight="1" thickBot="1">
      <c r="A312" s="8"/>
      <c r="B312" s="11" t="str">
        <f>+IFERROR(VLOOKUP(C312,Listas!$L$8:$M$101,2,FALSE),"")</f>
        <v>10070101</v>
      </c>
      <c r="C312" s="335" t="s">
        <v>491</v>
      </c>
      <c r="D312" s="273"/>
      <c r="E312" s="274"/>
      <c r="F312" s="370"/>
      <c r="G312" s="417"/>
      <c r="H312" s="418" t="str">
        <f>+IF(I312=""," ",VLOOKUP(I312,Listas!$I$8:$J$10,2,FALSE))</f>
        <v>02</v>
      </c>
      <c r="I312" s="419" t="s">
        <v>464</v>
      </c>
      <c r="J312" s="420">
        <f>+IF(K312=""," ",VLOOKUP(K312,PUC!$B:$C,2,FALSE))</f>
        <v>6208021401</v>
      </c>
      <c r="K312" s="419" t="s">
        <v>868</v>
      </c>
      <c r="L312" s="421" t="str">
        <f>+IF(M312=""," ",VLOOKUP(M312,Listas!$F$9:$G$17,2,FALSE))</f>
        <v>09</v>
      </c>
      <c r="M312" s="422" t="s">
        <v>458</v>
      </c>
      <c r="N312" s="423"/>
      <c r="O312" s="15"/>
      <c r="P312" s="16"/>
      <c r="Q312" s="16"/>
      <c r="R312" s="16"/>
      <c r="S312" s="16"/>
      <c r="T312" s="16"/>
      <c r="U312" s="16"/>
      <c r="V312" s="16"/>
      <c r="W312" s="16"/>
      <c r="X312" s="16"/>
      <c r="Y312" s="16"/>
      <c r="Z312" s="17"/>
    </row>
    <row r="313" spans="1:26" s="59" customFormat="1" ht="29.25" hidden="1" customHeight="1">
      <c r="A313" s="8"/>
      <c r="B313" s="11" t="str">
        <f>+IFERROR(VLOOKUP(C313,Listas!$L$8:$M$101,2,FALSE),"")</f>
        <v>10070101</v>
      </c>
      <c r="C313" s="335" t="s">
        <v>491</v>
      </c>
      <c r="D313" s="273"/>
      <c r="E313" s="274"/>
      <c r="F313" s="370"/>
      <c r="G313" s="401"/>
      <c r="H313" s="9" t="str">
        <f>+IF(I313=""," ",VLOOKUP(I313,Listas!$I$8:$J$10,2,FALSE))</f>
        <v xml:space="preserve"> </v>
      </c>
      <c r="I313" s="335"/>
      <c r="J313" s="369" t="str">
        <f>+IF(K313=""," ",VLOOKUP(K313,PUC!$B:$C,2,FALSE))</f>
        <v xml:space="preserve"> </v>
      </c>
      <c r="K313" s="335"/>
      <c r="L313" s="11" t="str">
        <f>+IF(M313=""," ",VLOOKUP(M313,Listas!$F$9:$G$17,2,FALSE))</f>
        <v>09</v>
      </c>
      <c r="M313" s="357" t="s">
        <v>458</v>
      </c>
      <c r="N313" s="346"/>
      <c r="O313" s="15"/>
      <c r="P313" s="16"/>
      <c r="Q313" s="16"/>
      <c r="R313" s="16"/>
      <c r="S313" s="16"/>
      <c r="T313" s="16"/>
      <c r="U313" s="16"/>
      <c r="V313" s="16"/>
      <c r="W313" s="16"/>
      <c r="X313" s="16"/>
      <c r="Y313" s="16"/>
      <c r="Z313" s="17"/>
    </row>
    <row r="314" spans="1:26" s="59" customFormat="1" ht="29.25" hidden="1" customHeight="1">
      <c r="A314" s="8"/>
      <c r="B314" s="11" t="str">
        <f>+IFERROR(VLOOKUP(C314,Listas!$L$8:$M$101,2,FALSE),"")</f>
        <v>10070101</v>
      </c>
      <c r="C314" s="335" t="s">
        <v>491</v>
      </c>
      <c r="D314" s="273"/>
      <c r="E314" s="274"/>
      <c r="F314" s="370"/>
      <c r="G314" s="401"/>
      <c r="H314" s="9" t="str">
        <f>+IF(I314=""," ",VLOOKUP(I314,Listas!$I$8:$J$10,2,FALSE))</f>
        <v xml:space="preserve"> </v>
      </c>
      <c r="I314" s="335"/>
      <c r="J314" s="369" t="str">
        <f>+IF(K314=""," ",VLOOKUP(K314,PUC!$B:$C,2,FALSE))</f>
        <v xml:space="preserve"> </v>
      </c>
      <c r="K314" s="335"/>
      <c r="L314" s="11" t="str">
        <f>+IF(M314=""," ",VLOOKUP(M314,Listas!$F$9:$G$17,2,FALSE))</f>
        <v>09</v>
      </c>
      <c r="M314" s="357" t="s">
        <v>458</v>
      </c>
      <c r="N314" s="346"/>
      <c r="O314" s="15"/>
      <c r="P314" s="16"/>
      <c r="Q314" s="16"/>
      <c r="R314" s="16"/>
      <c r="S314" s="16"/>
      <c r="T314" s="16"/>
      <c r="U314" s="16"/>
      <c r="V314" s="16"/>
      <c r="W314" s="16"/>
      <c r="X314" s="16"/>
      <c r="Y314" s="16"/>
      <c r="Z314" s="17"/>
    </row>
    <row r="315" spans="1:26" s="59" customFormat="1" ht="29.25" hidden="1" customHeight="1">
      <c r="A315" s="8"/>
      <c r="B315" s="11" t="str">
        <f>+IFERROR(VLOOKUP(C315,Listas!$L$8:$M$101,2,FALSE),"")</f>
        <v>10070101</v>
      </c>
      <c r="C315" s="335" t="s">
        <v>491</v>
      </c>
      <c r="D315" s="273"/>
      <c r="E315" s="274"/>
      <c r="F315" s="370"/>
      <c r="G315" s="401"/>
      <c r="H315" s="9" t="str">
        <f>+IF(I315=""," ",VLOOKUP(I315,Listas!$I$8:$J$10,2,FALSE))</f>
        <v xml:space="preserve"> </v>
      </c>
      <c r="I315" s="335"/>
      <c r="J315" s="369" t="str">
        <f>+IF(K315=""," ",VLOOKUP(K315,PUC!$B:$C,2,FALSE))</f>
        <v xml:space="preserve"> </v>
      </c>
      <c r="K315" s="335"/>
      <c r="L315" s="11" t="str">
        <f>+IF(M315=""," ",VLOOKUP(M315,Listas!$F$9:$G$17,2,FALSE))</f>
        <v>09</v>
      </c>
      <c r="M315" s="357" t="s">
        <v>458</v>
      </c>
      <c r="N315" s="346"/>
      <c r="O315" s="15"/>
      <c r="P315" s="16"/>
      <c r="Q315" s="16"/>
      <c r="R315" s="16"/>
      <c r="S315" s="16"/>
      <c r="T315" s="16"/>
      <c r="U315" s="16"/>
      <c r="V315" s="16"/>
      <c r="W315" s="16"/>
      <c r="X315" s="16"/>
      <c r="Y315" s="16"/>
      <c r="Z315" s="17"/>
    </row>
    <row r="316" spans="1:26" s="59" customFormat="1" ht="29.25" hidden="1" customHeight="1">
      <c r="A316" s="8"/>
      <c r="B316" s="11" t="str">
        <f>+IFERROR(VLOOKUP(C316,Listas!$L$8:$M$101,2,FALSE),"")</f>
        <v>10070101</v>
      </c>
      <c r="C316" s="335" t="s">
        <v>491</v>
      </c>
      <c r="D316" s="273"/>
      <c r="E316" s="274"/>
      <c r="F316" s="370"/>
      <c r="G316" s="401"/>
      <c r="H316" s="9" t="str">
        <f>+IF(I316=""," ",VLOOKUP(I316,Listas!$I$8:$J$10,2,FALSE))</f>
        <v xml:space="preserve"> </v>
      </c>
      <c r="I316" s="335"/>
      <c r="J316" s="369" t="str">
        <f>+IF(K316=""," ",VLOOKUP(K316,PUC!$B:$C,2,FALSE))</f>
        <v xml:space="preserve"> </v>
      </c>
      <c r="K316" s="335"/>
      <c r="L316" s="11" t="str">
        <f>+IF(M316=""," ",VLOOKUP(M316,Listas!$F$9:$G$17,2,FALSE))</f>
        <v>09</v>
      </c>
      <c r="M316" s="357" t="s">
        <v>458</v>
      </c>
      <c r="N316" s="346"/>
      <c r="O316" s="15"/>
      <c r="P316" s="16"/>
      <c r="Q316" s="16"/>
      <c r="R316" s="16"/>
      <c r="S316" s="16"/>
      <c r="T316" s="16"/>
      <c r="U316" s="16"/>
      <c r="V316" s="16"/>
      <c r="W316" s="16"/>
      <c r="X316" s="16"/>
      <c r="Y316" s="16"/>
      <c r="Z316" s="17"/>
    </row>
    <row r="317" spans="1:26" s="59" customFormat="1" ht="29.25" hidden="1" customHeight="1">
      <c r="A317" s="8"/>
      <c r="B317" s="11" t="str">
        <f>+IFERROR(VLOOKUP(C317,Listas!$L$8:$M$101,2,FALSE),"")</f>
        <v>10070101</v>
      </c>
      <c r="C317" s="335" t="s">
        <v>491</v>
      </c>
      <c r="D317" s="273"/>
      <c r="E317" s="274"/>
      <c r="F317" s="370"/>
      <c r="G317" s="401"/>
      <c r="H317" s="9" t="str">
        <f>+IF(I317=""," ",VLOOKUP(I317,Listas!$I$8:$J$10,2,FALSE))</f>
        <v xml:space="preserve"> </v>
      </c>
      <c r="I317" s="335"/>
      <c r="J317" s="369" t="str">
        <f>+IF(K317=""," ",VLOOKUP(K317,PUC!$B:$C,2,FALSE))</f>
        <v xml:space="preserve"> </v>
      </c>
      <c r="K317" s="335"/>
      <c r="L317" s="11" t="str">
        <f>+IF(M317=""," ",VLOOKUP(M317,Listas!$F$9:$G$17,2,FALSE))</f>
        <v>09</v>
      </c>
      <c r="M317" s="357" t="s">
        <v>458</v>
      </c>
      <c r="N317" s="346"/>
      <c r="O317" s="15"/>
      <c r="P317" s="16"/>
      <c r="Q317" s="16"/>
      <c r="R317" s="16"/>
      <c r="S317" s="16"/>
      <c r="T317" s="16"/>
      <c r="U317" s="16"/>
      <c r="V317" s="16"/>
      <c r="W317" s="16"/>
      <c r="X317" s="16"/>
      <c r="Y317" s="16"/>
      <c r="Z317" s="17"/>
    </row>
    <row r="318" spans="1:26" s="59" customFormat="1" ht="29.25" hidden="1" customHeight="1">
      <c r="A318" s="8"/>
      <c r="B318" s="11" t="str">
        <f>+IFERROR(VLOOKUP(C318,Listas!$L$8:$M$101,2,FALSE),"")</f>
        <v>10070101</v>
      </c>
      <c r="C318" s="335" t="s">
        <v>491</v>
      </c>
      <c r="D318" s="273"/>
      <c r="E318" s="274"/>
      <c r="F318" s="370"/>
      <c r="G318" s="401"/>
      <c r="H318" s="9" t="str">
        <f>+IF(I318=""," ",VLOOKUP(I318,Listas!$I$8:$J$10,2,FALSE))</f>
        <v xml:space="preserve"> </v>
      </c>
      <c r="I318" s="335"/>
      <c r="J318" s="369" t="str">
        <f>+IF(K318=""," ",VLOOKUP(K318,PUC!$B:$C,2,FALSE))</f>
        <v xml:space="preserve"> </v>
      </c>
      <c r="K318" s="335"/>
      <c r="L318" s="11" t="str">
        <f>+IF(M318=""," ",VLOOKUP(M318,Listas!$F$9:$G$17,2,FALSE))</f>
        <v>09</v>
      </c>
      <c r="M318" s="357" t="s">
        <v>458</v>
      </c>
      <c r="N318" s="346"/>
      <c r="O318" s="15"/>
      <c r="P318" s="16"/>
      <c r="Q318" s="16"/>
      <c r="R318" s="16"/>
      <c r="S318" s="16"/>
      <c r="T318" s="16"/>
      <c r="U318" s="16"/>
      <c r="V318" s="16"/>
      <c r="W318" s="16"/>
      <c r="X318" s="16"/>
      <c r="Y318" s="16"/>
      <c r="Z318" s="17"/>
    </row>
    <row r="319" spans="1:26" s="59" customFormat="1" ht="29.25" hidden="1" customHeight="1" thickBot="1">
      <c r="A319" s="8"/>
      <c r="B319" s="22" t="str">
        <f>+IFERROR(VLOOKUP(C319,Listas!$L$8:$M$101,2,FALSE),"")</f>
        <v>10070101</v>
      </c>
      <c r="C319" s="341" t="s">
        <v>491</v>
      </c>
      <c r="D319" s="277"/>
      <c r="E319" s="278"/>
      <c r="F319" s="400"/>
      <c r="G319" s="424"/>
      <c r="H319" s="21" t="str">
        <f>+IF(I319=""," ",VLOOKUP(I319,Listas!$I$8:$J$10,2,FALSE))</f>
        <v xml:space="preserve"> </v>
      </c>
      <c r="I319" s="341"/>
      <c r="J319" s="376" t="str">
        <f>+IF(K319=""," ",VLOOKUP(K319,PUC!$B:$C,2,FALSE))</f>
        <v xml:space="preserve"> </v>
      </c>
      <c r="K319" s="341"/>
      <c r="L319" s="22" t="str">
        <f>+IF(M319=""," ",VLOOKUP(M319,Listas!$F$9:$G$17,2,FALSE))</f>
        <v>09</v>
      </c>
      <c r="M319" s="359" t="s">
        <v>458</v>
      </c>
      <c r="N319" s="348"/>
      <c r="O319" s="23"/>
      <c r="P319" s="24"/>
      <c r="Q319" s="24"/>
      <c r="R319" s="24"/>
      <c r="S319" s="24"/>
      <c r="T319" s="24"/>
      <c r="U319" s="24"/>
      <c r="V319" s="24"/>
      <c r="W319" s="24"/>
      <c r="X319" s="24"/>
      <c r="Y319" s="24"/>
      <c r="Z319" s="25"/>
    </row>
    <row r="320" spans="1:26" s="59" customFormat="1" ht="25.5">
      <c r="A320" s="8"/>
      <c r="B320" s="20" t="str">
        <f>+IFERROR(VLOOKUP(C320,Listas!$L$8:$M$101,2,FALSE),"")</f>
        <v>10070102</v>
      </c>
      <c r="C320" s="340" t="s">
        <v>492</v>
      </c>
      <c r="D320" s="275"/>
      <c r="E320" s="276"/>
      <c r="F320" s="630" t="s">
        <v>1205</v>
      </c>
      <c r="G320" s="402" t="s">
        <v>1208</v>
      </c>
      <c r="H320" s="18" t="str">
        <f>+IF(I320=""," ",VLOOKUP(I320,Listas!$I$8:$J$10,2,FALSE))</f>
        <v xml:space="preserve"> </v>
      </c>
      <c r="I320" s="340"/>
      <c r="J320" s="375" t="str">
        <f>+IF(K320=""," ",VLOOKUP(K320,PUC!$B:$C,2,FALSE))</f>
        <v xml:space="preserve"> </v>
      </c>
      <c r="K320" s="340"/>
      <c r="L320" s="20" t="str">
        <f>+IF(M320=""," ",VLOOKUP(M320,Listas!$F$9:$G$17,2,FALSE))</f>
        <v xml:space="preserve"> </v>
      </c>
      <c r="M320" s="358"/>
      <c r="N320" s="347"/>
      <c r="O320" s="12"/>
      <c r="P320" s="13"/>
      <c r="Q320" s="13"/>
      <c r="R320" s="13"/>
      <c r="S320" s="13"/>
      <c r="T320" s="13"/>
      <c r="U320" s="13"/>
      <c r="V320" s="13"/>
      <c r="W320" s="13"/>
      <c r="X320" s="13"/>
      <c r="Y320" s="13"/>
      <c r="Z320" s="14"/>
    </row>
    <row r="321" spans="1:26" s="59" customFormat="1" ht="18">
      <c r="A321" s="8"/>
      <c r="B321" s="11" t="str">
        <f>+IFERROR(VLOOKUP(C321,Listas!$L$8:$M$101,2,FALSE),"")</f>
        <v>10070102</v>
      </c>
      <c r="C321" s="335" t="s">
        <v>492</v>
      </c>
      <c r="D321" s="273"/>
      <c r="E321" s="274"/>
      <c r="F321" s="622"/>
      <c r="G321" s="401" t="s">
        <v>1209</v>
      </c>
      <c r="H321" s="9" t="str">
        <f>+IF(I321=""," ",VLOOKUP(I321,Listas!$I$8:$J$10,2,FALSE))</f>
        <v xml:space="preserve"> </v>
      </c>
      <c r="I321" s="335"/>
      <c r="J321" s="369" t="str">
        <f>+IF(K321=""," ",VLOOKUP(K321,PUC!$B:$C,2,FALSE))</f>
        <v xml:space="preserve"> </v>
      </c>
      <c r="K321" s="335"/>
      <c r="L321" s="11" t="str">
        <f>+IF(M321=""," ",VLOOKUP(M321,Listas!$F$9:$G$17,2,FALSE))</f>
        <v xml:space="preserve"> </v>
      </c>
      <c r="M321" s="357"/>
      <c r="N321" s="346"/>
      <c r="O321" s="15"/>
      <c r="P321" s="16"/>
      <c r="Q321" s="16"/>
      <c r="R321" s="16"/>
      <c r="S321" s="16"/>
      <c r="T321" s="16"/>
      <c r="U321" s="16"/>
      <c r="V321" s="16"/>
      <c r="W321" s="16"/>
      <c r="X321" s="16"/>
      <c r="Y321" s="16"/>
      <c r="Z321" s="17"/>
    </row>
    <row r="322" spans="1:26" s="59" customFormat="1" ht="18">
      <c r="A322" s="8"/>
      <c r="B322" s="11" t="str">
        <f>+IFERROR(VLOOKUP(C322,Listas!$L$8:$M$101,2,FALSE),"")</f>
        <v>10070102</v>
      </c>
      <c r="C322" s="335" t="s">
        <v>492</v>
      </c>
      <c r="D322" s="273"/>
      <c r="E322" s="274"/>
      <c r="F322" s="622"/>
      <c r="G322" s="401" t="s">
        <v>1210</v>
      </c>
      <c r="H322" s="9" t="str">
        <f>+IF(I322=""," ",VLOOKUP(I322,Listas!$I$8:$J$10,2,FALSE))</f>
        <v xml:space="preserve"> </v>
      </c>
      <c r="I322" s="335"/>
      <c r="J322" s="369" t="str">
        <f>+IF(K322=""," ",VLOOKUP(K322,PUC!$B:$C,2,FALSE))</f>
        <v xml:space="preserve"> </v>
      </c>
      <c r="K322" s="335"/>
      <c r="L322" s="11" t="str">
        <f>+IF(M322=""," ",VLOOKUP(M322,Listas!$F$9:$G$17,2,FALSE))</f>
        <v xml:space="preserve"> </v>
      </c>
      <c r="M322" s="357"/>
      <c r="N322" s="346"/>
      <c r="O322" s="15"/>
      <c r="P322" s="16"/>
      <c r="Q322" s="16"/>
      <c r="R322" s="16"/>
      <c r="S322" s="16"/>
      <c r="T322" s="16"/>
      <c r="U322" s="16"/>
      <c r="V322" s="16"/>
      <c r="W322" s="16"/>
      <c r="X322" s="16"/>
      <c r="Y322" s="16"/>
      <c r="Z322" s="17"/>
    </row>
    <row r="323" spans="1:26" s="59" customFormat="1" ht="18">
      <c r="A323" s="8"/>
      <c r="B323" s="11" t="str">
        <f>+IFERROR(VLOOKUP(C323,Listas!$L$8:$M$101,2,FALSE),"")</f>
        <v>10070102</v>
      </c>
      <c r="C323" s="335" t="s">
        <v>492</v>
      </c>
      <c r="D323" s="273"/>
      <c r="E323" s="274"/>
      <c r="F323" s="623"/>
      <c r="G323" s="401" t="s">
        <v>1357</v>
      </c>
      <c r="H323" s="9" t="str">
        <f>+IF(I323=""," ",VLOOKUP(I323,Listas!$I$8:$J$10,2,FALSE))</f>
        <v xml:space="preserve"> </v>
      </c>
      <c r="I323" s="335"/>
      <c r="J323" s="369" t="str">
        <f>+IF(K323=""," ",VLOOKUP(K323,PUC!$B:$C,2,FALSE))</f>
        <v xml:space="preserve"> </v>
      </c>
      <c r="K323" s="335"/>
      <c r="L323" s="11" t="str">
        <f>+IF(M323=""," ",VLOOKUP(M323,Listas!$F$9:$G$17,2,FALSE))</f>
        <v xml:space="preserve"> </v>
      </c>
      <c r="M323" s="357"/>
      <c r="N323" s="346"/>
      <c r="O323" s="15"/>
      <c r="P323" s="16"/>
      <c r="Q323" s="16"/>
      <c r="R323" s="16"/>
      <c r="S323" s="16"/>
      <c r="T323" s="16"/>
      <c r="U323" s="16"/>
      <c r="V323" s="16"/>
      <c r="W323" s="16"/>
      <c r="X323" s="16"/>
      <c r="Y323" s="16"/>
      <c r="Z323" s="17"/>
    </row>
    <row r="324" spans="1:26" s="59" customFormat="1" ht="39" thickBot="1">
      <c r="A324" s="8"/>
      <c r="B324" s="11" t="str">
        <f>+IFERROR(VLOOKUP(C324,Listas!$L$8:$M$101,2,FALSE),"")</f>
        <v>10070102</v>
      </c>
      <c r="C324" s="335" t="s">
        <v>492</v>
      </c>
      <c r="D324" s="273"/>
      <c r="E324" s="274"/>
      <c r="F324" s="370" t="s">
        <v>1206</v>
      </c>
      <c r="G324" s="401" t="s">
        <v>1207</v>
      </c>
      <c r="H324" s="9" t="str">
        <f>+IF(I324=""," ",VLOOKUP(I324,Listas!$I$8:$J$10,2,FALSE))</f>
        <v xml:space="preserve"> </v>
      </c>
      <c r="I324" s="335"/>
      <c r="J324" s="369" t="str">
        <f>+IF(K324=""," ",VLOOKUP(K324,PUC!$B:$C,2,FALSE))</f>
        <v xml:space="preserve"> </v>
      </c>
      <c r="K324" s="335"/>
      <c r="L324" s="11" t="str">
        <f>+IF(M324=""," ",VLOOKUP(M324,Listas!$F$9:$G$17,2,FALSE))</f>
        <v xml:space="preserve"> </v>
      </c>
      <c r="M324" s="357"/>
      <c r="N324" s="346"/>
      <c r="O324" s="15"/>
      <c r="P324" s="16"/>
      <c r="Q324" s="16"/>
      <c r="R324" s="16"/>
      <c r="S324" s="16"/>
      <c r="T324" s="16"/>
      <c r="U324" s="16"/>
      <c r="V324" s="16"/>
      <c r="W324" s="16"/>
      <c r="X324" s="16"/>
      <c r="Y324" s="16"/>
      <c r="Z324" s="17"/>
    </row>
    <row r="325" spans="1:26" s="59" customFormat="1" ht="29.25" hidden="1" customHeight="1">
      <c r="A325" s="8"/>
      <c r="B325" s="11" t="str">
        <f>+IFERROR(VLOOKUP(C325,Listas!$L$8:$M$101,2,FALSE),"")</f>
        <v>10070102</v>
      </c>
      <c r="C325" s="335" t="s">
        <v>492</v>
      </c>
      <c r="D325" s="273"/>
      <c r="E325" s="274"/>
      <c r="F325" s="370"/>
      <c r="G325" s="401"/>
      <c r="H325" s="9" t="str">
        <f>+IF(I325=""," ",VLOOKUP(I325,Listas!$I$8:$J$10,2,FALSE))</f>
        <v xml:space="preserve"> </v>
      </c>
      <c r="I325" s="335"/>
      <c r="J325" s="369" t="str">
        <f>+IF(K325=""," ",VLOOKUP(K325,PUC!$B:$C,2,FALSE))</f>
        <v xml:space="preserve"> </v>
      </c>
      <c r="K325" s="335"/>
      <c r="L325" s="11" t="str">
        <f>+IF(M325=""," ",VLOOKUP(M325,Listas!$F$9:$G$17,2,FALSE))</f>
        <v xml:space="preserve"> </v>
      </c>
      <c r="M325" s="357"/>
      <c r="N325" s="346"/>
      <c r="O325" s="15"/>
      <c r="P325" s="16"/>
      <c r="Q325" s="16"/>
      <c r="R325" s="16"/>
      <c r="S325" s="16"/>
      <c r="T325" s="16"/>
      <c r="U325" s="16"/>
      <c r="V325" s="16"/>
      <c r="W325" s="16"/>
      <c r="X325" s="16"/>
      <c r="Y325" s="16"/>
      <c r="Z325" s="17"/>
    </row>
    <row r="326" spans="1:26" s="59" customFormat="1" ht="29.25" hidden="1" customHeight="1">
      <c r="A326" s="8"/>
      <c r="B326" s="11" t="str">
        <f>+IFERROR(VLOOKUP(C326,Listas!$L$8:$M$101,2,FALSE),"")</f>
        <v>10070102</v>
      </c>
      <c r="C326" s="335" t="s">
        <v>492</v>
      </c>
      <c r="D326" s="273"/>
      <c r="E326" s="274"/>
      <c r="F326" s="370"/>
      <c r="G326" s="401"/>
      <c r="H326" s="9" t="str">
        <f>+IF(I326=""," ",VLOOKUP(I326,Listas!$I$8:$J$10,2,FALSE))</f>
        <v xml:space="preserve"> </v>
      </c>
      <c r="I326" s="335"/>
      <c r="J326" s="369" t="str">
        <f>+IF(K326=""," ",VLOOKUP(K326,PUC!$B:$C,2,FALSE))</f>
        <v xml:space="preserve"> </v>
      </c>
      <c r="K326" s="335"/>
      <c r="L326" s="11" t="str">
        <f>+IF(M326=""," ",VLOOKUP(M326,Listas!$F$9:$G$17,2,FALSE))</f>
        <v xml:space="preserve"> </v>
      </c>
      <c r="M326" s="357"/>
      <c r="N326" s="346"/>
      <c r="O326" s="15"/>
      <c r="P326" s="16"/>
      <c r="Q326" s="16"/>
      <c r="R326" s="16"/>
      <c r="S326" s="16"/>
      <c r="T326" s="16"/>
      <c r="U326" s="16"/>
      <c r="V326" s="16"/>
      <c r="W326" s="16"/>
      <c r="X326" s="16"/>
      <c r="Y326" s="16"/>
      <c r="Z326" s="17"/>
    </row>
    <row r="327" spans="1:26" s="59" customFormat="1" ht="29.25" hidden="1" customHeight="1">
      <c r="A327" s="8"/>
      <c r="B327" s="11" t="str">
        <f>+IFERROR(VLOOKUP(C327,Listas!$L$8:$M$101,2,FALSE),"")</f>
        <v>10070102</v>
      </c>
      <c r="C327" s="335" t="s">
        <v>492</v>
      </c>
      <c r="D327" s="273"/>
      <c r="E327" s="274"/>
      <c r="F327" s="370"/>
      <c r="G327" s="401"/>
      <c r="H327" s="9" t="str">
        <f>+IF(I327=""," ",VLOOKUP(I327,Listas!$I$8:$J$10,2,FALSE))</f>
        <v xml:space="preserve"> </v>
      </c>
      <c r="I327" s="335"/>
      <c r="J327" s="369" t="str">
        <f>+IF(K327=""," ",VLOOKUP(K327,PUC!$B:$C,2,FALSE))</f>
        <v xml:space="preserve"> </v>
      </c>
      <c r="K327" s="335"/>
      <c r="L327" s="11" t="str">
        <f>+IF(M327=""," ",VLOOKUP(M327,Listas!$F$9:$G$17,2,FALSE))</f>
        <v xml:space="preserve"> </v>
      </c>
      <c r="M327" s="357"/>
      <c r="N327" s="346"/>
      <c r="O327" s="15"/>
      <c r="P327" s="16"/>
      <c r="Q327" s="16"/>
      <c r="R327" s="16"/>
      <c r="S327" s="16"/>
      <c r="T327" s="16"/>
      <c r="U327" s="16"/>
      <c r="V327" s="16"/>
      <c r="W327" s="16"/>
      <c r="X327" s="16"/>
      <c r="Y327" s="16"/>
      <c r="Z327" s="17"/>
    </row>
    <row r="328" spans="1:26" s="59" customFormat="1" ht="29.25" hidden="1" customHeight="1">
      <c r="A328" s="8"/>
      <c r="B328" s="11" t="str">
        <f>+IFERROR(VLOOKUP(C328,Listas!$L$8:$M$101,2,FALSE),"")</f>
        <v>10070102</v>
      </c>
      <c r="C328" s="335" t="s">
        <v>492</v>
      </c>
      <c r="D328" s="273"/>
      <c r="E328" s="274"/>
      <c r="F328" s="370"/>
      <c r="G328" s="401"/>
      <c r="H328" s="9" t="str">
        <f>+IF(I328=""," ",VLOOKUP(I328,Listas!$I$8:$J$10,2,FALSE))</f>
        <v xml:space="preserve"> </v>
      </c>
      <c r="I328" s="335"/>
      <c r="J328" s="369" t="str">
        <f>+IF(K328=""," ",VLOOKUP(K328,PUC!$B:$C,2,FALSE))</f>
        <v xml:space="preserve"> </v>
      </c>
      <c r="K328" s="335"/>
      <c r="L328" s="11" t="str">
        <f>+IF(M328=""," ",VLOOKUP(M328,Listas!$F$9:$G$17,2,FALSE))</f>
        <v xml:space="preserve"> </v>
      </c>
      <c r="M328" s="357"/>
      <c r="N328" s="346"/>
      <c r="O328" s="15"/>
      <c r="P328" s="16"/>
      <c r="Q328" s="16"/>
      <c r="R328" s="16"/>
      <c r="S328" s="16"/>
      <c r="T328" s="16"/>
      <c r="U328" s="16"/>
      <c r="V328" s="16"/>
      <c r="W328" s="16"/>
      <c r="X328" s="16"/>
      <c r="Y328" s="16"/>
      <c r="Z328" s="17"/>
    </row>
    <row r="329" spans="1:26" s="59" customFormat="1" ht="29.25" hidden="1" customHeight="1" thickBot="1">
      <c r="A329" s="8"/>
      <c r="B329" s="22" t="str">
        <f>+IFERROR(VLOOKUP(C329,Listas!$L$8:$M$101,2,FALSE),"")</f>
        <v>10070102</v>
      </c>
      <c r="C329" s="341" t="s">
        <v>492</v>
      </c>
      <c r="D329" s="277"/>
      <c r="E329" s="278"/>
      <c r="F329" s="400"/>
      <c r="G329" s="424"/>
      <c r="H329" s="21" t="str">
        <f>+IF(I329=""," ",VLOOKUP(I329,Listas!$I$8:$J$10,2,FALSE))</f>
        <v xml:space="preserve"> </v>
      </c>
      <c r="I329" s="341"/>
      <c r="J329" s="376" t="str">
        <f>+IF(K329=""," ",VLOOKUP(K329,PUC!$B:$C,2,FALSE))</f>
        <v xml:space="preserve"> </v>
      </c>
      <c r="K329" s="341"/>
      <c r="L329" s="22" t="str">
        <f>+IF(M329=""," ",VLOOKUP(M329,Listas!$F$9:$G$17,2,FALSE))</f>
        <v xml:space="preserve"> </v>
      </c>
      <c r="M329" s="359"/>
      <c r="N329" s="348"/>
      <c r="O329" s="23"/>
      <c r="P329" s="24"/>
      <c r="Q329" s="24"/>
      <c r="R329" s="24"/>
      <c r="S329" s="24"/>
      <c r="T329" s="24"/>
      <c r="U329" s="24"/>
      <c r="V329" s="24"/>
      <c r="W329" s="24"/>
      <c r="X329" s="24"/>
      <c r="Y329" s="24"/>
      <c r="Z329" s="25"/>
    </row>
    <row r="330" spans="1:26" s="59" customFormat="1" ht="38.25">
      <c r="A330" s="8"/>
      <c r="B330" s="20" t="str">
        <f>+IFERROR(VLOOKUP(C330,Listas!$L$8:$M$101,2,FALSE),"")</f>
        <v>10070103</v>
      </c>
      <c r="C330" s="340" t="s">
        <v>493</v>
      </c>
      <c r="D330" s="275"/>
      <c r="E330" s="276"/>
      <c r="F330" s="630" t="s">
        <v>1211</v>
      </c>
      <c r="G330" s="402" t="s">
        <v>1212</v>
      </c>
      <c r="H330" s="18" t="str">
        <f>+IF(I330=""," ",VLOOKUP(I330,Listas!$I$8:$J$10,2,FALSE))</f>
        <v xml:space="preserve"> </v>
      </c>
      <c r="I330" s="340"/>
      <c r="J330" s="375" t="str">
        <f>+IF(K330=""," ",VLOOKUP(K330,PUC!$B:$C,2,FALSE))</f>
        <v xml:space="preserve"> </v>
      </c>
      <c r="K330" s="340"/>
      <c r="L330" s="20" t="str">
        <f>+IF(M330=""," ",VLOOKUP(M330,Listas!$F$9:$G$17,2,FALSE))</f>
        <v>08</v>
      </c>
      <c r="M330" s="358" t="s">
        <v>456</v>
      </c>
      <c r="N330" s="347"/>
      <c r="O330" s="12"/>
      <c r="P330" s="13"/>
      <c r="Q330" s="13"/>
      <c r="R330" s="13"/>
      <c r="S330" s="13"/>
      <c r="T330" s="13"/>
      <c r="U330" s="13"/>
      <c r="V330" s="13"/>
      <c r="W330" s="13"/>
      <c r="X330" s="13"/>
      <c r="Y330" s="13"/>
      <c r="Z330" s="14"/>
    </row>
    <row r="331" spans="1:26" s="59" customFormat="1" ht="29.25" customHeight="1">
      <c r="A331" s="8"/>
      <c r="B331" s="11" t="str">
        <f>+IFERROR(VLOOKUP(C331,Listas!$L$8:$M$101,2,FALSE),"")</f>
        <v>10070103</v>
      </c>
      <c r="C331" s="343" t="s">
        <v>493</v>
      </c>
      <c r="D331" s="273"/>
      <c r="E331" s="274"/>
      <c r="F331" s="622"/>
      <c r="G331" s="401" t="s">
        <v>1213</v>
      </c>
      <c r="H331" s="9" t="str">
        <f>+IF(I331=""," ",VLOOKUP(I331,Listas!$I$8:$J$10,2,FALSE))</f>
        <v>02</v>
      </c>
      <c r="I331" s="335" t="s">
        <v>464</v>
      </c>
      <c r="J331" s="369">
        <f>+IF(K331=""," ",VLOOKUP(K331,PUC!$B:$C,2,FALSE))</f>
        <v>6208021401</v>
      </c>
      <c r="K331" s="335" t="s">
        <v>868</v>
      </c>
      <c r="L331" s="11" t="str">
        <f>+IF(M331=""," ",VLOOKUP(M331,Listas!$F$9:$G$17,2,FALSE))</f>
        <v>08</v>
      </c>
      <c r="M331" s="357" t="s">
        <v>456</v>
      </c>
      <c r="N331" s="346"/>
      <c r="O331" s="15"/>
      <c r="P331" s="16"/>
      <c r="Q331" s="16"/>
      <c r="R331" s="16"/>
      <c r="S331" s="16"/>
      <c r="T331" s="16"/>
      <c r="U331" s="16"/>
      <c r="V331" s="16"/>
      <c r="W331" s="16"/>
      <c r="X331" s="16"/>
      <c r="Y331" s="16"/>
      <c r="Z331" s="17"/>
    </row>
    <row r="332" spans="1:26" s="59" customFormat="1" ht="63.75">
      <c r="A332" s="8"/>
      <c r="B332" s="11" t="str">
        <f>+IFERROR(VLOOKUP(C332,Listas!$L$8:$M$101,2,FALSE),"")</f>
        <v>10070103</v>
      </c>
      <c r="C332" s="343" t="s">
        <v>493</v>
      </c>
      <c r="D332" s="273"/>
      <c r="E332" s="274"/>
      <c r="F332" s="623"/>
      <c r="G332" s="401" t="s">
        <v>1214</v>
      </c>
      <c r="H332" s="9" t="str">
        <f>+IF(I332=""," ",VLOOKUP(I332,Listas!$I$8:$J$10,2,FALSE))</f>
        <v xml:space="preserve"> </v>
      </c>
      <c r="I332" s="335"/>
      <c r="J332" s="369" t="str">
        <f>+IF(K332=""," ",VLOOKUP(K332,PUC!$B:$C,2,FALSE))</f>
        <v xml:space="preserve"> </v>
      </c>
      <c r="K332" s="335"/>
      <c r="L332" s="11" t="str">
        <f>+IF(M332=""," ",VLOOKUP(M332,Listas!$F$9:$G$17,2,FALSE))</f>
        <v>08</v>
      </c>
      <c r="M332" s="357" t="s">
        <v>456</v>
      </c>
      <c r="N332" s="346"/>
      <c r="O332" s="15"/>
      <c r="P332" s="16"/>
      <c r="Q332" s="16"/>
      <c r="R332" s="16"/>
      <c r="S332" s="16"/>
      <c r="T332" s="16"/>
      <c r="U332" s="16"/>
      <c r="V332" s="16"/>
      <c r="W332" s="16"/>
      <c r="X332" s="16"/>
      <c r="Y332" s="16"/>
      <c r="Z332" s="17"/>
    </row>
    <row r="333" spans="1:26" s="59" customFormat="1" ht="38.25">
      <c r="A333" s="8"/>
      <c r="B333" s="11" t="str">
        <f>+IFERROR(VLOOKUP(C333,Listas!$L$8:$M$101,2,FALSE),"")</f>
        <v>10070103</v>
      </c>
      <c r="C333" s="343" t="s">
        <v>493</v>
      </c>
      <c r="D333" s="273"/>
      <c r="E333" s="274"/>
      <c r="F333" s="621" t="s">
        <v>1215</v>
      </c>
      <c r="G333" s="401" t="s">
        <v>1216</v>
      </c>
      <c r="H333" s="9" t="str">
        <f>+IF(I333=""," ",VLOOKUP(I333,Listas!$I$8:$J$10,2,FALSE))</f>
        <v xml:space="preserve"> </v>
      </c>
      <c r="I333" s="335"/>
      <c r="J333" s="369" t="str">
        <f>+IF(K333=""," ",VLOOKUP(K333,PUC!$B:$C,2,FALSE))</f>
        <v xml:space="preserve"> </v>
      </c>
      <c r="K333" s="335"/>
      <c r="L333" s="11" t="str">
        <f>+IF(M333=""," ",VLOOKUP(M333,Listas!$F$9:$G$17,2,FALSE))</f>
        <v>08</v>
      </c>
      <c r="M333" s="357" t="s">
        <v>456</v>
      </c>
      <c r="N333" s="346"/>
      <c r="O333" s="15"/>
      <c r="P333" s="16"/>
      <c r="Q333" s="16"/>
      <c r="R333" s="16"/>
      <c r="S333" s="16"/>
      <c r="T333" s="16"/>
      <c r="U333" s="16"/>
      <c r="V333" s="16"/>
      <c r="W333" s="16"/>
      <c r="X333" s="16"/>
      <c r="Y333" s="16"/>
      <c r="Z333" s="17"/>
    </row>
    <row r="334" spans="1:26" s="59" customFormat="1" ht="25.5">
      <c r="A334" s="8"/>
      <c r="B334" s="11" t="str">
        <f>+IFERROR(VLOOKUP(C334,Listas!$L$8:$M$101,2,FALSE),"")</f>
        <v>10070103</v>
      </c>
      <c r="C334" s="343" t="s">
        <v>493</v>
      </c>
      <c r="D334" s="273"/>
      <c r="E334" s="274"/>
      <c r="F334" s="622"/>
      <c r="G334" s="401" t="s">
        <v>1217</v>
      </c>
      <c r="H334" s="9" t="str">
        <f>+IF(I334=""," ",VLOOKUP(I334,Listas!$I$8:$J$10,2,FALSE))</f>
        <v xml:space="preserve"> </v>
      </c>
      <c r="I334" s="335"/>
      <c r="J334" s="369" t="str">
        <f>+IF(K334=""," ",VLOOKUP(K334,PUC!$B:$C,2,FALSE))</f>
        <v xml:space="preserve"> </v>
      </c>
      <c r="K334" s="335"/>
      <c r="L334" s="11" t="str">
        <f>+IF(M334=""," ",VLOOKUP(M334,Listas!$F$9:$G$17,2,FALSE))</f>
        <v>08</v>
      </c>
      <c r="M334" s="357" t="s">
        <v>456</v>
      </c>
      <c r="N334" s="346"/>
      <c r="O334" s="15"/>
      <c r="P334" s="16"/>
      <c r="Q334" s="16"/>
      <c r="R334" s="16"/>
      <c r="S334" s="16"/>
      <c r="T334" s="16"/>
      <c r="U334" s="16"/>
      <c r="V334" s="16"/>
      <c r="W334" s="16"/>
      <c r="X334" s="16"/>
      <c r="Y334" s="16"/>
      <c r="Z334" s="17"/>
    </row>
    <row r="335" spans="1:26" s="59" customFormat="1" ht="38.25">
      <c r="A335" s="8"/>
      <c r="B335" s="11" t="str">
        <f>+IFERROR(VLOOKUP(C335,Listas!$L$8:$M$101,2,FALSE),"")</f>
        <v>10070103</v>
      </c>
      <c r="C335" s="343" t="s">
        <v>493</v>
      </c>
      <c r="D335" s="273"/>
      <c r="E335" s="274"/>
      <c r="F335" s="622"/>
      <c r="G335" s="401" t="s">
        <v>1184</v>
      </c>
      <c r="H335" s="9" t="str">
        <f>+IF(I335=""," ",VLOOKUP(I335,Listas!$I$8:$J$10,2,FALSE))</f>
        <v>04</v>
      </c>
      <c r="I335" s="335" t="s">
        <v>466</v>
      </c>
      <c r="J335" s="369">
        <f>+IF(K335=""," ",VLOOKUP(K335,PUC!$B:$C,2,FALSE))</f>
        <v>6208022101</v>
      </c>
      <c r="K335" s="335" t="s">
        <v>976</v>
      </c>
      <c r="L335" s="11" t="str">
        <f>+IF(M335=""," ",VLOOKUP(M335,Listas!$F$9:$G$17,2,FALSE))</f>
        <v>08</v>
      </c>
      <c r="M335" s="357" t="s">
        <v>456</v>
      </c>
      <c r="N335" s="346"/>
      <c r="O335" s="15"/>
      <c r="P335" s="16"/>
      <c r="Q335" s="16"/>
      <c r="R335" s="16"/>
      <c r="S335" s="16"/>
      <c r="T335" s="16"/>
      <c r="U335" s="16"/>
      <c r="V335" s="16"/>
      <c r="W335" s="16"/>
      <c r="X335" s="16"/>
      <c r="Y335" s="16"/>
      <c r="Z335" s="17"/>
    </row>
    <row r="336" spans="1:26" s="59" customFormat="1" ht="51">
      <c r="A336" s="8"/>
      <c r="B336" s="11" t="str">
        <f>+IFERROR(VLOOKUP(C336,Listas!$L$8:$M$101,2,FALSE),"")</f>
        <v>10070103</v>
      </c>
      <c r="C336" s="343" t="s">
        <v>493</v>
      </c>
      <c r="D336" s="273"/>
      <c r="E336" s="274"/>
      <c r="F336" s="622"/>
      <c r="G336" s="401" t="s">
        <v>1218</v>
      </c>
      <c r="H336" s="9" t="str">
        <f>+IF(I336=""," ",VLOOKUP(I336,Listas!$I$8:$J$10,2,FALSE))</f>
        <v xml:space="preserve"> </v>
      </c>
      <c r="I336" s="335"/>
      <c r="J336" s="369" t="str">
        <f>+IF(K336=""," ",VLOOKUP(K336,PUC!$B:$C,2,FALSE))</f>
        <v xml:space="preserve"> </v>
      </c>
      <c r="K336" s="335"/>
      <c r="L336" s="11" t="str">
        <f>+IF(M336=""," ",VLOOKUP(M336,Listas!$F$9:$G$17,2,FALSE))</f>
        <v>08</v>
      </c>
      <c r="M336" s="357" t="s">
        <v>456</v>
      </c>
      <c r="N336" s="346"/>
      <c r="O336" s="15"/>
      <c r="P336" s="16"/>
      <c r="Q336" s="16"/>
      <c r="R336" s="16"/>
      <c r="S336" s="16"/>
      <c r="T336" s="16"/>
      <c r="U336" s="16"/>
      <c r="V336" s="16"/>
      <c r="W336" s="16"/>
      <c r="X336" s="16"/>
      <c r="Y336" s="16"/>
      <c r="Z336" s="17"/>
    </row>
    <row r="337" spans="1:26" s="59" customFormat="1" ht="25.5">
      <c r="A337" s="8"/>
      <c r="B337" s="11" t="str">
        <f>+IFERROR(VLOOKUP(C337,Listas!$L$8:$M$101,2,FALSE),"")</f>
        <v>10070103</v>
      </c>
      <c r="C337" s="343" t="s">
        <v>493</v>
      </c>
      <c r="D337" s="273"/>
      <c r="E337" s="274"/>
      <c r="F337" s="623"/>
      <c r="G337" s="401" t="s">
        <v>1219</v>
      </c>
      <c r="H337" s="9" t="str">
        <f>+IF(I337=""," ",VLOOKUP(I337,Listas!$I$8:$J$10,2,FALSE))</f>
        <v>04</v>
      </c>
      <c r="I337" s="335" t="s">
        <v>466</v>
      </c>
      <c r="J337" s="369">
        <f>+IF(K337=""," ",VLOOKUP(K337,PUC!$B:$C,2,FALSE))</f>
        <v>6208021104</v>
      </c>
      <c r="K337" s="335" t="s">
        <v>987</v>
      </c>
      <c r="L337" s="11" t="str">
        <f>+IF(M337=""," ",VLOOKUP(M337,Listas!$F$9:$G$17,2,FALSE))</f>
        <v>08</v>
      </c>
      <c r="M337" s="357" t="s">
        <v>456</v>
      </c>
      <c r="N337" s="346"/>
      <c r="O337" s="15"/>
      <c r="P337" s="16"/>
      <c r="Q337" s="16"/>
      <c r="R337" s="16"/>
      <c r="S337" s="16"/>
      <c r="T337" s="16"/>
      <c r="U337" s="16"/>
      <c r="V337" s="16"/>
      <c r="W337" s="16"/>
      <c r="X337" s="16"/>
      <c r="Y337" s="16"/>
      <c r="Z337" s="17"/>
    </row>
    <row r="338" spans="1:26" s="59" customFormat="1" ht="25.5">
      <c r="A338" s="8"/>
      <c r="B338" s="11" t="str">
        <f>+IFERROR(VLOOKUP(C338,Listas!$L$8:$M$101,2,FALSE),"")</f>
        <v>10070103</v>
      </c>
      <c r="C338" s="343" t="s">
        <v>493</v>
      </c>
      <c r="D338" s="273"/>
      <c r="E338" s="274"/>
      <c r="F338" s="370" t="s">
        <v>1117</v>
      </c>
      <c r="G338" s="401" t="s">
        <v>1220</v>
      </c>
      <c r="H338" s="9" t="str">
        <f>+IF(I338=""," ",VLOOKUP(I338,Listas!$I$8:$J$10,2,FALSE))</f>
        <v xml:space="preserve"> </v>
      </c>
      <c r="I338" s="335"/>
      <c r="J338" s="369" t="str">
        <f>+IF(K338=""," ",VLOOKUP(K338,PUC!$B:$C,2,FALSE))</f>
        <v xml:space="preserve"> </v>
      </c>
      <c r="K338" s="335"/>
      <c r="L338" s="11" t="str">
        <f>+IF(M338=""," ",VLOOKUP(M338,Listas!$F$9:$G$17,2,FALSE))</f>
        <v>08</v>
      </c>
      <c r="M338" s="357" t="s">
        <v>456</v>
      </c>
      <c r="N338" s="346"/>
      <c r="O338" s="15"/>
      <c r="P338" s="16"/>
      <c r="Q338" s="16"/>
      <c r="R338" s="16"/>
      <c r="S338" s="16"/>
      <c r="T338" s="16"/>
      <c r="U338" s="16"/>
      <c r="V338" s="16"/>
      <c r="W338" s="16"/>
      <c r="X338" s="16"/>
      <c r="Y338" s="16"/>
      <c r="Z338" s="17"/>
    </row>
    <row r="339" spans="1:26" s="59" customFormat="1" ht="25.5">
      <c r="A339" s="8"/>
      <c r="B339" s="11" t="str">
        <f>+IFERROR(VLOOKUP(C339,Listas!$L$8:$M$101,2,FALSE),"")</f>
        <v>10070103</v>
      </c>
      <c r="C339" s="343" t="s">
        <v>493</v>
      </c>
      <c r="D339" s="273"/>
      <c r="E339" s="274"/>
      <c r="F339" s="621" t="s">
        <v>1221</v>
      </c>
      <c r="G339" s="401" t="s">
        <v>1222</v>
      </c>
      <c r="H339" s="9" t="str">
        <f>+IF(I339=""," ",VLOOKUP(I339,Listas!$I$8:$J$10,2,FALSE))</f>
        <v xml:space="preserve"> </v>
      </c>
      <c r="I339" s="335"/>
      <c r="J339" s="369" t="str">
        <f>+IF(K339=""," ",VLOOKUP(K339,PUC!$B:$C,2,FALSE))</f>
        <v xml:space="preserve"> </v>
      </c>
      <c r="K339" s="335"/>
      <c r="L339" s="11" t="str">
        <f>+IF(M339=""," ",VLOOKUP(M339,Listas!$F$9:$G$17,2,FALSE))</f>
        <v>08</v>
      </c>
      <c r="M339" s="357" t="s">
        <v>456</v>
      </c>
      <c r="N339" s="346"/>
      <c r="O339" s="15"/>
      <c r="P339" s="16"/>
      <c r="Q339" s="16"/>
      <c r="R339" s="16"/>
      <c r="S339" s="16"/>
      <c r="T339" s="16"/>
      <c r="U339" s="16"/>
      <c r="V339" s="16"/>
      <c r="W339" s="16"/>
      <c r="X339" s="16"/>
      <c r="Y339" s="16"/>
      <c r="Z339" s="17"/>
    </row>
    <row r="340" spans="1:26" s="59" customFormat="1" ht="38.25">
      <c r="A340" s="8"/>
      <c r="B340" s="11" t="str">
        <f>+IFERROR(VLOOKUP(C340,Listas!$L$8:$M$101,2,FALSE),"")</f>
        <v>10070103</v>
      </c>
      <c r="C340" s="343" t="s">
        <v>493</v>
      </c>
      <c r="D340" s="273"/>
      <c r="E340" s="274"/>
      <c r="F340" s="623"/>
      <c r="G340" s="401" t="s">
        <v>1223</v>
      </c>
      <c r="H340" s="9" t="str">
        <f>+IF(I340=""," ",VLOOKUP(I340,Listas!$I$8:$J$10,2,FALSE))</f>
        <v xml:space="preserve"> </v>
      </c>
      <c r="I340" s="335"/>
      <c r="J340" s="369" t="str">
        <f>+IF(K340=""," ",VLOOKUP(K340,PUC!$B:$C,2,FALSE))</f>
        <v xml:space="preserve"> </v>
      </c>
      <c r="K340" s="335"/>
      <c r="L340" s="11" t="str">
        <f>+IF(M340=""," ",VLOOKUP(M340,Listas!$F$9:$G$17,2,FALSE))</f>
        <v>08</v>
      </c>
      <c r="M340" s="357" t="s">
        <v>456</v>
      </c>
      <c r="N340" s="346"/>
      <c r="O340" s="15"/>
      <c r="P340" s="16"/>
      <c r="Q340" s="16"/>
      <c r="R340" s="16"/>
      <c r="S340" s="16"/>
      <c r="T340" s="16"/>
      <c r="U340" s="16"/>
      <c r="V340" s="16"/>
      <c r="W340" s="16"/>
      <c r="X340" s="16"/>
      <c r="Y340" s="16"/>
      <c r="Z340" s="17"/>
    </row>
    <row r="341" spans="1:26" s="59" customFormat="1" ht="51">
      <c r="A341" s="8"/>
      <c r="B341" s="11" t="str">
        <f>+IFERROR(VLOOKUP(C341,Listas!$L$8:$M$101,2,FALSE),"")</f>
        <v>10070103</v>
      </c>
      <c r="C341" s="343" t="s">
        <v>493</v>
      </c>
      <c r="D341" s="273"/>
      <c r="E341" s="274"/>
      <c r="F341" s="370" t="s">
        <v>1224</v>
      </c>
      <c r="G341" s="401" t="s">
        <v>1225</v>
      </c>
      <c r="H341" s="9" t="str">
        <f>+IF(I341=""," ",VLOOKUP(I341,Listas!$I$8:$J$10,2,FALSE))</f>
        <v xml:space="preserve"> </v>
      </c>
      <c r="I341" s="335"/>
      <c r="J341" s="369" t="str">
        <f>+IF(K341=""," ",VLOOKUP(K341,PUC!$B:$C,2,FALSE))</f>
        <v xml:space="preserve"> </v>
      </c>
      <c r="K341" s="335"/>
      <c r="L341" s="11" t="str">
        <f>+IF(M341=""," ",VLOOKUP(M341,Listas!$F$9:$G$17,2,FALSE))</f>
        <v>08</v>
      </c>
      <c r="M341" s="357" t="s">
        <v>456</v>
      </c>
      <c r="N341" s="346"/>
      <c r="O341" s="15"/>
      <c r="P341" s="16"/>
      <c r="Q341" s="16"/>
      <c r="R341" s="16"/>
      <c r="S341" s="16"/>
      <c r="T341" s="16"/>
      <c r="U341" s="16"/>
      <c r="V341" s="16"/>
      <c r="W341" s="16"/>
      <c r="X341" s="16"/>
      <c r="Y341" s="16"/>
      <c r="Z341" s="17"/>
    </row>
    <row r="342" spans="1:26" s="59" customFormat="1" ht="25.5">
      <c r="A342" s="8"/>
      <c r="B342" s="11" t="str">
        <f>+IFERROR(VLOOKUP(C342,Listas!$L$8:$M$101,2,FALSE),"")</f>
        <v>10070103</v>
      </c>
      <c r="C342" s="343" t="s">
        <v>493</v>
      </c>
      <c r="D342" s="273"/>
      <c r="E342" s="274"/>
      <c r="F342" s="621" t="s">
        <v>1226</v>
      </c>
      <c r="G342" s="401" t="s">
        <v>1227</v>
      </c>
      <c r="H342" s="9" t="str">
        <f>+IF(I342=""," ",VLOOKUP(I342,Listas!$I$8:$J$10,2,FALSE))</f>
        <v xml:space="preserve"> </v>
      </c>
      <c r="I342" s="335"/>
      <c r="J342" s="369" t="str">
        <f>+IF(K342=""," ",VLOOKUP(K342,PUC!$B:$C,2,FALSE))</f>
        <v xml:space="preserve"> </v>
      </c>
      <c r="K342" s="335"/>
      <c r="L342" s="11" t="str">
        <f>+IF(M342=""," ",VLOOKUP(M342,Listas!$F$9:$G$17,2,FALSE))</f>
        <v>08</v>
      </c>
      <c r="M342" s="357" t="s">
        <v>456</v>
      </c>
      <c r="N342" s="346"/>
      <c r="O342" s="15"/>
      <c r="P342" s="16"/>
      <c r="Q342" s="16"/>
      <c r="R342" s="16"/>
      <c r="S342" s="16"/>
      <c r="T342" s="16"/>
      <c r="U342" s="16"/>
      <c r="V342" s="16"/>
      <c r="W342" s="16"/>
      <c r="X342" s="16"/>
      <c r="Y342" s="16"/>
      <c r="Z342" s="17"/>
    </row>
    <row r="343" spans="1:26" s="59" customFormat="1" ht="25.5">
      <c r="A343" s="8"/>
      <c r="B343" s="11" t="str">
        <f>+IFERROR(VLOOKUP(C343,Listas!$L$8:$M$101,2,FALSE),"")</f>
        <v>10070103</v>
      </c>
      <c r="C343" s="343" t="s">
        <v>493</v>
      </c>
      <c r="D343" s="273"/>
      <c r="E343" s="274"/>
      <c r="F343" s="622"/>
      <c r="G343" s="401" t="s">
        <v>1228</v>
      </c>
      <c r="H343" s="9" t="str">
        <f>+IF(I343=""," ",VLOOKUP(I343,Listas!$I$8:$J$10,2,FALSE))</f>
        <v xml:space="preserve"> </v>
      </c>
      <c r="I343" s="335"/>
      <c r="J343" s="369" t="str">
        <f>+IF(K343=""," ",VLOOKUP(K343,PUC!$B:$C,2,FALSE))</f>
        <v xml:space="preserve"> </v>
      </c>
      <c r="K343" s="335"/>
      <c r="L343" s="11" t="str">
        <f>+IF(M343=""," ",VLOOKUP(M343,Listas!$F$9:$G$17,2,FALSE))</f>
        <v>08</v>
      </c>
      <c r="M343" s="357" t="s">
        <v>456</v>
      </c>
      <c r="N343" s="346"/>
      <c r="O343" s="15"/>
      <c r="P343" s="16"/>
      <c r="Q343" s="16"/>
      <c r="R343" s="16"/>
      <c r="S343" s="16"/>
      <c r="T343" s="16"/>
      <c r="U343" s="16"/>
      <c r="V343" s="16"/>
      <c r="W343" s="16"/>
      <c r="X343" s="16"/>
      <c r="Y343" s="16"/>
      <c r="Z343" s="17"/>
    </row>
    <row r="344" spans="1:26" s="59" customFormat="1" ht="27.75" customHeight="1">
      <c r="A344" s="8"/>
      <c r="B344" s="11" t="str">
        <f>+IFERROR(VLOOKUP(C344,Listas!$L$8:$M$101,2,FALSE),"")</f>
        <v>10070103</v>
      </c>
      <c r="C344" s="343" t="s">
        <v>493</v>
      </c>
      <c r="D344" s="273"/>
      <c r="E344" s="274"/>
      <c r="F344" s="623"/>
      <c r="G344" s="401" t="s">
        <v>1229</v>
      </c>
      <c r="H344" s="9" t="str">
        <f>+IF(I344=""," ",VLOOKUP(I344,Listas!$I$8:$J$10,2,FALSE))</f>
        <v xml:space="preserve"> </v>
      </c>
      <c r="I344" s="335"/>
      <c r="J344" s="369" t="str">
        <f>+IF(K344=""," ",VLOOKUP(K344,PUC!$B:$C,2,FALSE))</f>
        <v xml:space="preserve"> </v>
      </c>
      <c r="K344" s="335"/>
      <c r="L344" s="11" t="str">
        <f>+IF(M344=""," ",VLOOKUP(M344,Listas!$F$9:$G$17,2,FALSE))</f>
        <v>08</v>
      </c>
      <c r="M344" s="357" t="s">
        <v>456</v>
      </c>
      <c r="N344" s="346"/>
      <c r="O344" s="15"/>
      <c r="P344" s="16"/>
      <c r="Q344" s="16"/>
      <c r="R344" s="16"/>
      <c r="S344" s="16"/>
      <c r="T344" s="16"/>
      <c r="U344" s="16"/>
      <c r="V344" s="16"/>
      <c r="W344" s="16"/>
      <c r="X344" s="16"/>
      <c r="Y344" s="16"/>
      <c r="Z344" s="17"/>
    </row>
    <row r="345" spans="1:26" s="59" customFormat="1" ht="38.25">
      <c r="A345" s="8"/>
      <c r="B345" s="11" t="str">
        <f>+IFERROR(VLOOKUP(C345,Listas!$L$8:$M$101,2,FALSE),"")</f>
        <v>10070103</v>
      </c>
      <c r="C345" s="343" t="s">
        <v>493</v>
      </c>
      <c r="D345" s="273"/>
      <c r="E345" s="274"/>
      <c r="F345" s="621" t="s">
        <v>1230</v>
      </c>
      <c r="G345" s="401" t="s">
        <v>1238</v>
      </c>
      <c r="H345" s="9" t="str">
        <f>+IF(I345=""," ",VLOOKUP(I345,Listas!$I$8:$J$10,2,FALSE))</f>
        <v xml:space="preserve"> </v>
      </c>
      <c r="I345" s="335"/>
      <c r="J345" s="369" t="str">
        <f>+IF(K345=""," ",VLOOKUP(K345,PUC!$B:$C,2,FALSE))</f>
        <v xml:space="preserve"> </v>
      </c>
      <c r="K345" s="335"/>
      <c r="L345" s="11" t="str">
        <f>+IF(M345=""," ",VLOOKUP(M345,Listas!$F$9:$G$17,2,FALSE))</f>
        <v>08</v>
      </c>
      <c r="M345" s="357" t="s">
        <v>456</v>
      </c>
      <c r="N345" s="346"/>
      <c r="O345" s="15"/>
      <c r="P345" s="16"/>
      <c r="Q345" s="16"/>
      <c r="R345" s="16"/>
      <c r="S345" s="16"/>
      <c r="T345" s="16"/>
      <c r="U345" s="16"/>
      <c r="V345" s="16"/>
      <c r="W345" s="16"/>
      <c r="X345" s="16"/>
      <c r="Y345" s="16"/>
      <c r="Z345" s="17"/>
    </row>
    <row r="346" spans="1:26" s="59" customFormat="1" ht="25.5">
      <c r="A346" s="8"/>
      <c r="B346" s="11" t="str">
        <f>+IFERROR(VLOOKUP(C346,Listas!$L$8:$M$101,2,FALSE),"")</f>
        <v>10070103</v>
      </c>
      <c r="C346" s="343" t="s">
        <v>493</v>
      </c>
      <c r="D346" s="273"/>
      <c r="E346" s="274"/>
      <c r="F346" s="623"/>
      <c r="G346" s="401" t="s">
        <v>1231</v>
      </c>
      <c r="H346" s="9" t="str">
        <f>+IF(I346=""," ",VLOOKUP(I346,Listas!$I$8:$J$10,2,FALSE))</f>
        <v xml:space="preserve"> </v>
      </c>
      <c r="I346" s="335"/>
      <c r="J346" s="369" t="str">
        <f>+IF(K346=""," ",VLOOKUP(K346,PUC!$B:$C,2,FALSE))</f>
        <v xml:space="preserve"> </v>
      </c>
      <c r="K346" s="335"/>
      <c r="L346" s="11" t="str">
        <f>+IF(M346=""," ",VLOOKUP(M346,Listas!$F$9:$G$17,2,FALSE))</f>
        <v>08</v>
      </c>
      <c r="M346" s="357" t="s">
        <v>456</v>
      </c>
      <c r="N346" s="346"/>
      <c r="O346" s="15"/>
      <c r="P346" s="16"/>
      <c r="Q346" s="16"/>
      <c r="R346" s="16"/>
      <c r="S346" s="16"/>
      <c r="T346" s="16"/>
      <c r="U346" s="16"/>
      <c r="V346" s="16"/>
      <c r="W346" s="16"/>
      <c r="X346" s="16"/>
      <c r="Y346" s="16"/>
      <c r="Z346" s="17"/>
    </row>
    <row r="347" spans="1:26" s="59" customFormat="1" ht="25.5">
      <c r="A347" s="8"/>
      <c r="B347" s="11" t="str">
        <f>+IFERROR(VLOOKUP(C347,Listas!$L$8:$M$101,2,FALSE),"")</f>
        <v>10070103</v>
      </c>
      <c r="C347" s="343" t="s">
        <v>493</v>
      </c>
      <c r="D347" s="273"/>
      <c r="E347" s="274"/>
      <c r="F347" s="370" t="s">
        <v>1232</v>
      </c>
      <c r="G347" s="401" t="s">
        <v>1233</v>
      </c>
      <c r="H347" s="9" t="str">
        <f>+IF(I347=""," ",VLOOKUP(I347,Listas!$I$8:$J$10,2,FALSE))</f>
        <v xml:space="preserve"> </v>
      </c>
      <c r="I347" s="335"/>
      <c r="J347" s="369" t="str">
        <f>+IF(K347=""," ",VLOOKUP(K347,PUC!$B:$C,2,FALSE))</f>
        <v xml:space="preserve"> </v>
      </c>
      <c r="K347" s="335"/>
      <c r="L347" s="11" t="str">
        <f>+IF(M347=""," ",VLOOKUP(M347,Listas!$F$9:$G$17,2,FALSE))</f>
        <v>08</v>
      </c>
      <c r="M347" s="357" t="s">
        <v>456</v>
      </c>
      <c r="N347" s="346"/>
      <c r="O347" s="15"/>
      <c r="P347" s="16"/>
      <c r="Q347" s="16"/>
      <c r="R347" s="16"/>
      <c r="S347" s="16"/>
      <c r="T347" s="16"/>
      <c r="U347" s="16"/>
      <c r="V347" s="16"/>
      <c r="W347" s="16"/>
      <c r="X347" s="16"/>
      <c r="Y347" s="16"/>
      <c r="Z347" s="17"/>
    </row>
    <row r="348" spans="1:26" s="59" customFormat="1" ht="38.25">
      <c r="A348" s="8"/>
      <c r="B348" s="11" t="str">
        <f>+IFERROR(VLOOKUP(C348,Listas!$L$8:$M$101,2,FALSE),"")</f>
        <v>10070103</v>
      </c>
      <c r="C348" s="343" t="s">
        <v>493</v>
      </c>
      <c r="D348" s="273"/>
      <c r="E348" s="274"/>
      <c r="F348" s="370" t="s">
        <v>1234</v>
      </c>
      <c r="G348" s="401" t="s">
        <v>1235</v>
      </c>
      <c r="H348" s="9" t="str">
        <f>+IF(I348=""," ",VLOOKUP(I348,Listas!$I$8:$J$10,2,FALSE))</f>
        <v xml:space="preserve"> </v>
      </c>
      <c r="I348" s="335"/>
      <c r="J348" s="369" t="str">
        <f>+IF(K348=""," ",VLOOKUP(K348,PUC!$B:$C,2,FALSE))</f>
        <v xml:space="preserve"> </v>
      </c>
      <c r="K348" s="335"/>
      <c r="L348" s="11" t="str">
        <f>+IF(M348=""," ",VLOOKUP(M348,Listas!$F$9:$G$17,2,FALSE))</f>
        <v>08</v>
      </c>
      <c r="M348" s="357" t="s">
        <v>456</v>
      </c>
      <c r="N348" s="346"/>
      <c r="O348" s="15"/>
      <c r="P348" s="16"/>
      <c r="Q348" s="16"/>
      <c r="R348" s="16"/>
      <c r="S348" s="16"/>
      <c r="T348" s="16"/>
      <c r="U348" s="16"/>
      <c r="V348" s="16"/>
      <c r="W348" s="16"/>
      <c r="X348" s="16"/>
      <c r="Y348" s="16"/>
      <c r="Z348" s="17"/>
    </row>
    <row r="349" spans="1:26" s="59" customFormat="1" ht="38.25">
      <c r="A349" s="8"/>
      <c r="B349" s="11" t="str">
        <f>+IFERROR(VLOOKUP(C349,Listas!$L$8:$M$101,2,FALSE),"")</f>
        <v>10070103</v>
      </c>
      <c r="C349" s="343" t="s">
        <v>493</v>
      </c>
      <c r="D349" s="273"/>
      <c r="E349" s="274"/>
      <c r="F349" s="370" t="s">
        <v>1236</v>
      </c>
      <c r="G349" s="401" t="s">
        <v>1237</v>
      </c>
      <c r="H349" s="9" t="str">
        <f>+IF(I349=""," ",VLOOKUP(I349,Listas!$I$8:$J$10,2,FALSE))</f>
        <v xml:space="preserve"> </v>
      </c>
      <c r="I349" s="335"/>
      <c r="J349" s="369" t="str">
        <f>+IF(K349=""," ",VLOOKUP(K349,PUC!$B:$C,2,FALSE))</f>
        <v xml:space="preserve"> </v>
      </c>
      <c r="K349" s="335"/>
      <c r="L349" s="11" t="str">
        <f>+IF(M349=""," ",VLOOKUP(M349,Listas!$F$9:$G$17,2,FALSE))</f>
        <v>08</v>
      </c>
      <c r="M349" s="357" t="s">
        <v>456</v>
      </c>
      <c r="N349" s="346"/>
      <c r="O349" s="15"/>
      <c r="P349" s="16"/>
      <c r="Q349" s="16"/>
      <c r="R349" s="16"/>
      <c r="S349" s="16"/>
      <c r="T349" s="16"/>
      <c r="U349" s="16"/>
      <c r="V349" s="16"/>
      <c r="W349" s="16"/>
      <c r="X349" s="16"/>
      <c r="Y349" s="16"/>
      <c r="Z349" s="17"/>
    </row>
    <row r="350" spans="1:26" s="59" customFormat="1" ht="29.25" customHeight="1">
      <c r="A350" s="8"/>
      <c r="B350" s="11" t="str">
        <f>+IFERROR(VLOOKUP(C350,Listas!$L$8:$M$101,2,FALSE),"")</f>
        <v>10070103</v>
      </c>
      <c r="C350" s="343" t="s">
        <v>493</v>
      </c>
      <c r="D350" s="273"/>
      <c r="E350" s="274"/>
      <c r="F350" s="370"/>
      <c r="G350" s="401"/>
      <c r="H350" s="9" t="str">
        <f>+IF(I350=""," ",VLOOKUP(I350,Listas!$I$8:$J$10,2,FALSE))</f>
        <v xml:space="preserve"> </v>
      </c>
      <c r="I350" s="335"/>
      <c r="J350" s="369" t="str">
        <f>+IF(K350=""," ",VLOOKUP(K350,PUC!$B:$C,2,FALSE))</f>
        <v xml:space="preserve"> </v>
      </c>
      <c r="K350" s="335"/>
      <c r="L350" s="11" t="str">
        <f>+IF(M350=""," ",VLOOKUP(M350,Listas!$F$9:$G$17,2,FALSE))</f>
        <v>08</v>
      </c>
      <c r="M350" s="357" t="s">
        <v>456</v>
      </c>
      <c r="N350" s="346"/>
      <c r="O350" s="15"/>
      <c r="P350" s="16"/>
      <c r="Q350" s="16"/>
      <c r="R350" s="16"/>
      <c r="S350" s="16"/>
      <c r="T350" s="16"/>
      <c r="U350" s="16"/>
      <c r="V350" s="16"/>
      <c r="W350" s="16"/>
      <c r="X350" s="16"/>
      <c r="Y350" s="16"/>
      <c r="Z350" s="17"/>
    </row>
    <row r="351" spans="1:26" s="59" customFormat="1" ht="29.25" customHeight="1">
      <c r="A351" s="8"/>
      <c r="B351" s="11" t="str">
        <f>+IFERROR(VLOOKUP(C351,Listas!$L$8:$M$101,2,FALSE),"")</f>
        <v>10070103</v>
      </c>
      <c r="C351" s="343" t="s">
        <v>493</v>
      </c>
      <c r="D351" s="273"/>
      <c r="E351" s="274"/>
      <c r="F351" s="370"/>
      <c r="G351" s="401" t="s">
        <v>1358</v>
      </c>
      <c r="H351" s="9" t="str">
        <f>+IF(I351=""," ",VLOOKUP(I351,Listas!$I$8:$J$10,2,FALSE))</f>
        <v>02</v>
      </c>
      <c r="I351" s="335" t="s">
        <v>464</v>
      </c>
      <c r="J351" s="369">
        <f>+IF(K351=""," ",VLOOKUP(K351,PUC!$B:$C,2,FALSE))</f>
        <v>6208021401</v>
      </c>
      <c r="K351" s="335" t="s">
        <v>868</v>
      </c>
      <c r="L351" s="11" t="str">
        <f>+IF(M351=""," ",VLOOKUP(M351,Listas!$F$9:$G$17,2,FALSE))</f>
        <v>08</v>
      </c>
      <c r="M351" s="357" t="s">
        <v>456</v>
      </c>
      <c r="N351" s="346">
        <v>1000000</v>
      </c>
      <c r="O351" s="15"/>
      <c r="P351" s="16"/>
      <c r="Q351" s="16"/>
      <c r="R351" s="16"/>
      <c r="S351" s="16"/>
      <c r="T351" s="16"/>
      <c r="U351" s="16"/>
      <c r="V351" s="16"/>
      <c r="W351" s="16"/>
      <c r="X351" s="16"/>
      <c r="Y351" s="16"/>
      <c r="Z351" s="17"/>
    </row>
    <row r="352" spans="1:26" s="59" customFormat="1" ht="29.25" customHeight="1">
      <c r="A352" s="8"/>
      <c r="B352" s="11" t="str">
        <f>+IFERROR(VLOOKUP(C352,Listas!$L$8:$M$101,2,FALSE),"")</f>
        <v>10070103</v>
      </c>
      <c r="C352" s="343" t="s">
        <v>493</v>
      </c>
      <c r="D352" s="273"/>
      <c r="E352" s="274"/>
      <c r="F352" s="370"/>
      <c r="G352" s="401"/>
      <c r="H352" s="9" t="str">
        <f>+IF(I352=""," ",VLOOKUP(I352,Listas!$I$8:$J$10,2,FALSE))</f>
        <v>02</v>
      </c>
      <c r="I352" s="335" t="s">
        <v>464</v>
      </c>
      <c r="J352" s="369">
        <f>+IF(K352=""," ",VLOOKUP(K352,PUC!$B:$C,2,FALSE))</f>
        <v>6208020501</v>
      </c>
      <c r="K352" s="335" t="s">
        <v>803</v>
      </c>
      <c r="L352" s="11" t="str">
        <f>+IF(M352=""," ",VLOOKUP(M352,Listas!$F$9:$G$17,2,FALSE))</f>
        <v>08</v>
      </c>
      <c r="M352" s="357" t="s">
        <v>456</v>
      </c>
      <c r="N352" s="346">
        <v>600000</v>
      </c>
      <c r="O352" s="15"/>
      <c r="P352" s="16"/>
      <c r="Q352" s="16"/>
      <c r="R352" s="16"/>
      <c r="S352" s="16"/>
      <c r="T352" s="16"/>
      <c r="U352" s="16"/>
      <c r="V352" s="16"/>
      <c r="W352" s="16"/>
      <c r="X352" s="16"/>
      <c r="Y352" s="16"/>
      <c r="Z352" s="17"/>
    </row>
    <row r="353" spans="1:27" s="59" customFormat="1" ht="29.25" customHeight="1" thickBot="1">
      <c r="A353" s="8"/>
      <c r="B353" s="11" t="str">
        <f>+IFERROR(VLOOKUP(C353,Listas!$L$8:$M$101,2,FALSE),"")</f>
        <v>10070103</v>
      </c>
      <c r="C353" s="343" t="s">
        <v>493</v>
      </c>
      <c r="D353" s="273"/>
      <c r="E353" s="274"/>
      <c r="F353" s="370"/>
      <c r="G353" s="401"/>
      <c r="H353" s="9" t="str">
        <f>+IF(I353=""," ",VLOOKUP(I353,Listas!$I$8:$J$10,2,FALSE))</f>
        <v>02</v>
      </c>
      <c r="I353" s="335" t="s">
        <v>464</v>
      </c>
      <c r="J353" s="369">
        <f>+IF(K353=""," ",VLOOKUP(K353,PUC!$B:$C,2,FALSE))</f>
        <v>6208020101</v>
      </c>
      <c r="K353" s="335" t="s">
        <v>795</v>
      </c>
      <c r="L353" s="11" t="str">
        <f>+IF(M353=""," ",VLOOKUP(M353,Listas!$F$9:$G$17,2,FALSE))</f>
        <v>08</v>
      </c>
      <c r="M353" s="357" t="s">
        <v>456</v>
      </c>
      <c r="N353" s="346">
        <v>2000000</v>
      </c>
      <c r="O353" s="15"/>
      <c r="P353" s="16"/>
      <c r="Q353" s="16"/>
      <c r="R353" s="16"/>
      <c r="S353" s="16"/>
      <c r="T353" s="16"/>
      <c r="U353" s="16"/>
      <c r="V353" s="16"/>
      <c r="W353" s="16"/>
      <c r="X353" s="16"/>
      <c r="Y353" s="16"/>
      <c r="Z353" s="17"/>
    </row>
    <row r="354" spans="1:27" s="59" customFormat="1" ht="29.25" hidden="1" customHeight="1">
      <c r="A354" s="8"/>
      <c r="B354" s="11" t="str">
        <f>+IFERROR(VLOOKUP(C354,Listas!$L$8:$M$101,2,FALSE),"")</f>
        <v>10070103</v>
      </c>
      <c r="C354" s="343" t="s">
        <v>493</v>
      </c>
      <c r="D354" s="273"/>
      <c r="E354" s="274"/>
      <c r="F354" s="370"/>
      <c r="G354" s="401"/>
      <c r="H354" s="9" t="str">
        <f>+IF(I354=""," ",VLOOKUP(I354,Listas!$I$8:$J$10,2,FALSE))</f>
        <v xml:space="preserve"> </v>
      </c>
      <c r="I354" s="335"/>
      <c r="J354" s="369" t="str">
        <f>+IF(K354=""," ",VLOOKUP(K354,PUC!$B:$C,2,FALSE))</f>
        <v xml:space="preserve"> </v>
      </c>
      <c r="K354" s="335"/>
      <c r="L354" s="11" t="str">
        <f>+IF(M354=""," ",VLOOKUP(M354,Listas!$F$9:$G$17,2,FALSE))</f>
        <v>08</v>
      </c>
      <c r="M354" s="357" t="s">
        <v>456</v>
      </c>
      <c r="N354" s="346"/>
      <c r="O354" s="15"/>
      <c r="P354" s="16"/>
      <c r="Q354" s="16"/>
      <c r="R354" s="16"/>
      <c r="S354" s="16"/>
      <c r="T354" s="16"/>
      <c r="U354" s="16"/>
      <c r="V354" s="16"/>
      <c r="W354" s="16"/>
      <c r="X354" s="16"/>
      <c r="Y354" s="16"/>
      <c r="Z354" s="17"/>
    </row>
    <row r="355" spans="1:27" s="59" customFormat="1" ht="29.25" hidden="1" customHeight="1">
      <c r="A355" s="8"/>
      <c r="B355" s="11" t="str">
        <f>+IFERROR(VLOOKUP(C355,Listas!$L$8:$M$101,2,FALSE),"")</f>
        <v>10070103</v>
      </c>
      <c r="C355" s="343" t="s">
        <v>493</v>
      </c>
      <c r="D355" s="273"/>
      <c r="E355" s="274"/>
      <c r="F355" s="370"/>
      <c r="G355" s="401"/>
      <c r="H355" s="9" t="str">
        <f>+IF(I355=""," ",VLOOKUP(I355,Listas!$I$8:$J$10,2,FALSE))</f>
        <v xml:space="preserve"> </v>
      </c>
      <c r="I355" s="335"/>
      <c r="J355" s="369" t="str">
        <f>+IF(K355=""," ",VLOOKUP(K355,PUC!$B:$C,2,FALSE))</f>
        <v xml:space="preserve"> </v>
      </c>
      <c r="K355" s="335"/>
      <c r="L355" s="11" t="str">
        <f>+IF(M355=""," ",VLOOKUP(M355,Listas!$F$9:$G$17,2,FALSE))</f>
        <v>08</v>
      </c>
      <c r="M355" s="357" t="s">
        <v>456</v>
      </c>
      <c r="N355" s="346"/>
      <c r="O355" s="15"/>
      <c r="P355" s="16"/>
      <c r="Q355" s="16"/>
      <c r="R355" s="16"/>
      <c r="S355" s="16"/>
      <c r="T355" s="16"/>
      <c r="U355" s="16"/>
      <c r="V355" s="16"/>
      <c r="W355" s="16"/>
      <c r="X355" s="16"/>
      <c r="Y355" s="16"/>
      <c r="Z355" s="17"/>
    </row>
    <row r="356" spans="1:27" s="59" customFormat="1" ht="29.25" hidden="1" customHeight="1">
      <c r="A356" s="8"/>
      <c r="B356" s="11" t="str">
        <f>+IFERROR(VLOOKUP(C356,Listas!$L$8:$M$101,2,FALSE),"")</f>
        <v>10070103</v>
      </c>
      <c r="C356" s="343" t="s">
        <v>493</v>
      </c>
      <c r="D356" s="273"/>
      <c r="E356" s="274"/>
      <c r="F356" s="370"/>
      <c r="G356" s="401"/>
      <c r="H356" s="9" t="str">
        <f>+IF(I356=""," ",VLOOKUP(I356,Listas!$I$8:$J$10,2,FALSE))</f>
        <v xml:space="preserve"> </v>
      </c>
      <c r="I356" s="335"/>
      <c r="J356" s="369" t="str">
        <f>+IF(K356=""," ",VLOOKUP(K356,PUC!$B:$C,2,FALSE))</f>
        <v xml:space="preserve"> </v>
      </c>
      <c r="K356" s="335"/>
      <c r="L356" s="11" t="str">
        <f>+IF(M356=""," ",VLOOKUP(M356,Listas!$F$9:$G$17,2,FALSE))</f>
        <v>08</v>
      </c>
      <c r="M356" s="357" t="s">
        <v>456</v>
      </c>
      <c r="N356" s="346"/>
      <c r="O356" s="15"/>
      <c r="P356" s="16"/>
      <c r="Q356" s="16"/>
      <c r="R356" s="16"/>
      <c r="S356" s="16"/>
      <c r="T356" s="16"/>
      <c r="U356" s="16"/>
      <c r="V356" s="16"/>
      <c r="W356" s="16"/>
      <c r="X356" s="16"/>
      <c r="Y356" s="16"/>
      <c r="Z356" s="17"/>
    </row>
    <row r="357" spans="1:27" s="59" customFormat="1" ht="29.25" hidden="1" customHeight="1" thickBot="1">
      <c r="A357" s="8"/>
      <c r="B357" s="22" t="str">
        <f>+IFERROR(VLOOKUP(C357,Listas!$L$8:$M$101,2,FALSE),"")</f>
        <v>10070103</v>
      </c>
      <c r="C357" s="425" t="s">
        <v>493</v>
      </c>
      <c r="D357" s="277"/>
      <c r="E357" s="278"/>
      <c r="F357" s="400"/>
      <c r="G357" s="424"/>
      <c r="H357" s="21" t="str">
        <f>+IF(I357=""," ",VLOOKUP(I357,Listas!$I$8:$J$10,2,FALSE))</f>
        <v xml:space="preserve"> </v>
      </c>
      <c r="I357" s="341"/>
      <c r="J357" s="376" t="str">
        <f>+IF(K357=""," ",VLOOKUP(K357,PUC!$B:$C,2,FALSE))</f>
        <v xml:space="preserve"> </v>
      </c>
      <c r="K357" s="341"/>
      <c r="L357" s="22" t="str">
        <f>+IF(M357=""," ",VLOOKUP(M357,Listas!$F$9:$G$17,2,FALSE))</f>
        <v>08</v>
      </c>
      <c r="M357" s="359" t="s">
        <v>456</v>
      </c>
      <c r="N357" s="348"/>
      <c r="O357" s="23"/>
      <c r="P357" s="24"/>
      <c r="Q357" s="24"/>
      <c r="R357" s="24"/>
      <c r="S357" s="24"/>
      <c r="T357" s="24"/>
      <c r="U357" s="24"/>
      <c r="V357" s="24"/>
      <c r="W357" s="24"/>
      <c r="X357" s="24"/>
      <c r="Y357" s="24"/>
      <c r="Z357" s="25"/>
    </row>
    <row r="358" spans="1:27" s="59" customFormat="1" ht="63.75">
      <c r="A358" s="8"/>
      <c r="B358" s="20" t="str">
        <f>+IFERROR(VLOOKUP(C358,Listas!$L$8:$M$101,2,FALSE),"")</f>
        <v>10080101</v>
      </c>
      <c r="C358" s="340" t="s">
        <v>508</v>
      </c>
      <c r="D358" s="275"/>
      <c r="E358" s="276"/>
      <c r="F358" s="630" t="s">
        <v>1239</v>
      </c>
      <c r="G358" s="402" t="s">
        <v>1240</v>
      </c>
      <c r="H358" s="18" t="str">
        <f>+IF(I358=""," ",VLOOKUP(I358,Listas!$I$8:$J$10,2,FALSE))</f>
        <v xml:space="preserve"> </v>
      </c>
      <c r="I358" s="340"/>
      <c r="J358" s="375" t="str">
        <f>+IF(K358=""," ",VLOOKUP(K358,PUC!$B:$C,2,FALSE))</f>
        <v xml:space="preserve"> </v>
      </c>
      <c r="K358" s="340"/>
      <c r="L358" s="20" t="str">
        <f>+IF(M358=""," ",VLOOKUP(M358,Listas!$F$9:$G$17,2,FALSE))</f>
        <v xml:space="preserve"> </v>
      </c>
      <c r="M358" s="358"/>
      <c r="N358" s="347"/>
      <c r="O358" s="12"/>
      <c r="P358" s="13"/>
      <c r="Q358" s="13"/>
      <c r="R358" s="13"/>
      <c r="S358" s="13"/>
      <c r="T358" s="13"/>
      <c r="U358" s="13"/>
      <c r="V358" s="13"/>
      <c r="W358" s="13"/>
      <c r="X358" s="13"/>
      <c r="Y358" s="13"/>
      <c r="Z358" s="14"/>
    </row>
    <row r="359" spans="1:27" s="59" customFormat="1" ht="63.75">
      <c r="A359" s="8"/>
      <c r="B359" s="11" t="str">
        <f>+IFERROR(VLOOKUP(C359,Listas!$L$8:$M$101,2,FALSE),"")</f>
        <v>10080101</v>
      </c>
      <c r="C359" s="335" t="s">
        <v>508</v>
      </c>
      <c r="D359" s="273"/>
      <c r="E359" s="274"/>
      <c r="F359" s="622"/>
      <c r="G359" s="401" t="s">
        <v>1241</v>
      </c>
      <c r="H359" s="9" t="str">
        <f>+IF(I359=""," ",VLOOKUP(I359,Listas!$I$8:$J$10,2,FALSE))</f>
        <v xml:space="preserve"> </v>
      </c>
      <c r="I359" s="335"/>
      <c r="J359" s="369" t="str">
        <f>+IF(K359=""," ",VLOOKUP(K359,PUC!$B:$C,2,FALSE))</f>
        <v xml:space="preserve"> </v>
      </c>
      <c r="K359" s="335"/>
      <c r="L359" s="11" t="str">
        <f>+IF(M359=""," ",VLOOKUP(M359,Listas!$F$9:$G$17,2,FALSE))</f>
        <v xml:space="preserve"> </v>
      </c>
      <c r="M359" s="357"/>
      <c r="N359" s="346"/>
      <c r="O359" s="15"/>
      <c r="P359" s="16"/>
      <c r="Q359" s="16"/>
      <c r="R359" s="16"/>
      <c r="S359" s="16"/>
      <c r="T359" s="16"/>
      <c r="U359" s="16"/>
      <c r="V359" s="16"/>
      <c r="W359" s="16"/>
      <c r="X359" s="16"/>
      <c r="Y359" s="16"/>
      <c r="Z359" s="17"/>
    </row>
    <row r="360" spans="1:27" s="59" customFormat="1" ht="38.25">
      <c r="A360" s="8"/>
      <c r="B360" s="11" t="str">
        <f>+IFERROR(VLOOKUP(C360,Listas!$L$8:$M$101,2,FALSE),"")</f>
        <v>10080101</v>
      </c>
      <c r="C360" s="335" t="s">
        <v>508</v>
      </c>
      <c r="D360" s="273"/>
      <c r="E360" s="274"/>
      <c r="F360" s="623"/>
      <c r="G360" s="401" t="s">
        <v>1242</v>
      </c>
      <c r="H360" s="9" t="str">
        <f>+IF(I360=""," ",VLOOKUP(I360,Listas!$I$8:$J$10,2,FALSE))</f>
        <v xml:space="preserve"> </v>
      </c>
      <c r="I360" s="335"/>
      <c r="J360" s="369" t="str">
        <f>+IF(K360=""," ",VLOOKUP(K360,PUC!$B:$C,2,FALSE))</f>
        <v xml:space="preserve"> </v>
      </c>
      <c r="K360" s="335"/>
      <c r="L360" s="11" t="str">
        <f>+IF(M360=""," ",VLOOKUP(M360,Listas!$F$9:$G$17,2,FALSE))</f>
        <v xml:space="preserve"> </v>
      </c>
      <c r="M360" s="357"/>
      <c r="N360" s="346"/>
      <c r="O360" s="29"/>
      <c r="P360" s="30"/>
      <c r="Q360" s="30"/>
      <c r="R360" s="30"/>
      <c r="S360" s="30"/>
      <c r="T360" s="30"/>
      <c r="U360" s="30"/>
      <c r="V360" s="30"/>
      <c r="W360" s="30"/>
      <c r="X360" s="30"/>
      <c r="Y360" s="30"/>
      <c r="Z360" s="31"/>
    </row>
    <row r="361" spans="1:27" s="60" customFormat="1" ht="38.25">
      <c r="A361" s="8"/>
      <c r="B361" s="11" t="str">
        <f>+IFERROR(VLOOKUP(C361,Listas!$L$8:$M$101,2,FALSE),"")</f>
        <v>10080101</v>
      </c>
      <c r="C361" s="335" t="s">
        <v>508</v>
      </c>
      <c r="D361" s="273"/>
      <c r="E361" s="274"/>
      <c r="F361" s="621" t="s">
        <v>1243</v>
      </c>
      <c r="G361" s="401" t="s">
        <v>1244</v>
      </c>
      <c r="H361" s="9" t="str">
        <f>+IF(I361=""," ",VLOOKUP(I361,Listas!$I$8:$J$10,2,FALSE))</f>
        <v xml:space="preserve"> </v>
      </c>
      <c r="I361" s="335"/>
      <c r="J361" s="369" t="str">
        <f>+IF(K361=""," ",VLOOKUP(K361,PUC!$B:$C,2,FALSE))</f>
        <v xml:space="preserve"> </v>
      </c>
      <c r="K361" s="335"/>
      <c r="L361" s="11" t="str">
        <f>+IF(M361=""," ",VLOOKUP(M361,Listas!$F$9:$G$17,2,FALSE))</f>
        <v xml:space="preserve"> </v>
      </c>
      <c r="M361" s="357"/>
      <c r="N361" s="346"/>
      <c r="O361" s="29"/>
      <c r="P361" s="30"/>
      <c r="Q361" s="30"/>
      <c r="R361" s="30"/>
      <c r="S361" s="30"/>
      <c r="T361" s="30"/>
      <c r="U361" s="30"/>
      <c r="V361" s="30"/>
      <c r="W361" s="30"/>
      <c r="X361" s="30"/>
      <c r="Y361" s="30"/>
      <c r="Z361" s="31"/>
      <c r="AA361" s="59"/>
    </row>
    <row r="362" spans="1:27" s="60" customFormat="1" ht="38.25">
      <c r="A362" s="8"/>
      <c r="B362" s="11" t="str">
        <f>+IFERROR(VLOOKUP(C362,Listas!$L$8:$M$101,2,FALSE),"")</f>
        <v>10080101</v>
      </c>
      <c r="C362" s="335" t="s">
        <v>508</v>
      </c>
      <c r="D362" s="273"/>
      <c r="E362" s="274"/>
      <c r="F362" s="622"/>
      <c r="G362" s="401" t="s">
        <v>1245</v>
      </c>
      <c r="H362" s="9" t="str">
        <f>+IF(I362=""," ",VLOOKUP(I362,Listas!$I$8:$J$10,2,FALSE))</f>
        <v xml:space="preserve"> </v>
      </c>
      <c r="I362" s="335"/>
      <c r="J362" s="369" t="str">
        <f>+IF(K362=""," ",VLOOKUP(K362,PUC!$B:$C,2,FALSE))</f>
        <v xml:space="preserve"> </v>
      </c>
      <c r="K362" s="335"/>
      <c r="L362" s="11" t="str">
        <f>+IF(M362=""," ",VLOOKUP(M362,Listas!$F$9:$G$17,2,FALSE))</f>
        <v xml:space="preserve"> </v>
      </c>
      <c r="M362" s="357"/>
      <c r="N362" s="346"/>
      <c r="O362" s="29"/>
      <c r="P362" s="30"/>
      <c r="Q362" s="30"/>
      <c r="R362" s="30"/>
      <c r="S362" s="30"/>
      <c r="T362" s="30"/>
      <c r="U362" s="30"/>
      <c r="V362" s="30"/>
      <c r="W362" s="30"/>
      <c r="X362" s="30"/>
      <c r="Y362" s="30"/>
      <c r="Z362" s="31"/>
      <c r="AA362" s="59"/>
    </row>
    <row r="363" spans="1:27" s="60" customFormat="1" ht="91.5" customHeight="1">
      <c r="A363" s="8"/>
      <c r="B363" s="11" t="str">
        <f>+IFERROR(VLOOKUP(C363,Listas!$L$8:$M$101,2,FALSE),"")</f>
        <v>10080101</v>
      </c>
      <c r="C363" s="335" t="s">
        <v>508</v>
      </c>
      <c r="D363" s="273"/>
      <c r="E363" s="274"/>
      <c r="F363" s="623"/>
      <c r="G363" s="401" t="s">
        <v>1359</v>
      </c>
      <c r="H363" s="9" t="str">
        <f>+IF(I363=""," ",VLOOKUP(I363,Listas!$I$8:$J$10,2,FALSE))</f>
        <v>02</v>
      </c>
      <c r="I363" s="335" t="s">
        <v>464</v>
      </c>
      <c r="J363" s="369">
        <f>+IF(K363=""," ",VLOOKUP(K363,PUC!$B:$C,2,FALSE))</f>
        <v>6208020902</v>
      </c>
      <c r="K363" s="335" t="s">
        <v>793</v>
      </c>
      <c r="L363" s="11" t="str">
        <f>+IF(M363=""," ",VLOOKUP(M363,Listas!$F$9:$G$17,2,FALSE))</f>
        <v>10</v>
      </c>
      <c r="M363" s="357" t="s">
        <v>460</v>
      </c>
      <c r="N363" s="346">
        <v>4900000</v>
      </c>
      <c r="O363" s="29"/>
      <c r="P363" s="30"/>
      <c r="Q363" s="30"/>
      <c r="R363" s="30"/>
      <c r="S363" s="30"/>
      <c r="T363" s="30"/>
      <c r="U363" s="30"/>
      <c r="V363" s="30"/>
      <c r="W363" s="30"/>
      <c r="X363" s="30"/>
      <c r="Y363" s="30"/>
      <c r="Z363" s="31"/>
      <c r="AA363" s="59"/>
    </row>
    <row r="364" spans="1:27" s="60" customFormat="1" ht="30" customHeight="1">
      <c r="A364" s="8"/>
      <c r="B364" s="11" t="str">
        <f>+IFERROR(VLOOKUP(C364,Listas!$L$8:$M$101,2,FALSE),"")</f>
        <v>10080101</v>
      </c>
      <c r="C364" s="335" t="s">
        <v>508</v>
      </c>
      <c r="D364" s="273"/>
      <c r="E364" s="274"/>
      <c r="F364" s="621" t="s">
        <v>1246</v>
      </c>
      <c r="G364" s="401" t="s">
        <v>1247</v>
      </c>
      <c r="H364" s="9" t="str">
        <f>+IF(I364=""," ",VLOOKUP(I364,Listas!$I$8:$J$10,2,FALSE))</f>
        <v xml:space="preserve"> </v>
      </c>
      <c r="I364" s="335"/>
      <c r="J364" s="369" t="str">
        <f>+IF(K364=""," ",VLOOKUP(K364,PUC!$B:$C,2,FALSE))</f>
        <v xml:space="preserve"> </v>
      </c>
      <c r="K364" s="335"/>
      <c r="L364" s="11" t="str">
        <f>+IF(M364=""," ",VLOOKUP(M364,Listas!$F$9:$G$17,2,FALSE))</f>
        <v xml:space="preserve"> </v>
      </c>
      <c r="M364" s="357"/>
      <c r="N364" s="346"/>
      <c r="O364" s="29"/>
      <c r="P364" s="30"/>
      <c r="Q364" s="30"/>
      <c r="R364" s="30"/>
      <c r="S364" s="30"/>
      <c r="T364" s="30"/>
      <c r="U364" s="30"/>
      <c r="V364" s="30"/>
      <c r="W364" s="30"/>
      <c r="X364" s="30"/>
      <c r="Y364" s="30"/>
      <c r="Z364" s="31"/>
      <c r="AA364" s="59"/>
    </row>
    <row r="365" spans="1:27" s="60" customFormat="1" ht="38.25">
      <c r="A365" s="8"/>
      <c r="B365" s="11" t="str">
        <f>+IFERROR(VLOOKUP(C365,Listas!$L$8:$M$101,2,FALSE),"")</f>
        <v>10080101</v>
      </c>
      <c r="C365" s="335" t="s">
        <v>508</v>
      </c>
      <c r="D365" s="273"/>
      <c r="E365" s="274"/>
      <c r="F365" s="623"/>
      <c r="G365" s="401" t="s">
        <v>1248</v>
      </c>
      <c r="H365" s="9" t="str">
        <f>+IF(I365=""," ",VLOOKUP(I365,Listas!$I$8:$J$10,2,FALSE))</f>
        <v xml:space="preserve"> </v>
      </c>
      <c r="I365" s="335"/>
      <c r="J365" s="369" t="str">
        <f>+IF(K365=""," ",VLOOKUP(K365,PUC!$B:$C,2,FALSE))</f>
        <v xml:space="preserve"> </v>
      </c>
      <c r="K365" s="335"/>
      <c r="L365" s="11" t="str">
        <f>+IF(M365=""," ",VLOOKUP(M365,Listas!$F$9:$G$17,2,FALSE))</f>
        <v xml:space="preserve"> </v>
      </c>
      <c r="M365" s="357"/>
      <c r="N365" s="346"/>
      <c r="O365" s="29"/>
      <c r="P365" s="30"/>
      <c r="Q365" s="30"/>
      <c r="R365" s="30"/>
      <c r="S365" s="30"/>
      <c r="T365" s="30"/>
      <c r="U365" s="30"/>
      <c r="V365" s="30"/>
      <c r="W365" s="30"/>
      <c r="X365" s="30"/>
      <c r="Y365" s="30"/>
      <c r="Z365" s="31"/>
      <c r="AA365" s="59"/>
    </row>
    <row r="366" spans="1:27" s="60" customFormat="1" ht="38.25">
      <c r="A366" s="8"/>
      <c r="B366" s="11" t="str">
        <f>+IFERROR(VLOOKUP(C366,Listas!$L$8:$M$101,2,FALSE),"")</f>
        <v>10080101</v>
      </c>
      <c r="C366" s="335" t="s">
        <v>508</v>
      </c>
      <c r="D366" s="273"/>
      <c r="E366" s="274"/>
      <c r="F366" s="370" t="s">
        <v>1249</v>
      </c>
      <c r="G366" s="401" t="s">
        <v>1250</v>
      </c>
      <c r="H366" s="9" t="str">
        <f>+IF(I366=""," ",VLOOKUP(I366,Listas!$I$8:$J$10,2,FALSE))</f>
        <v xml:space="preserve"> </v>
      </c>
      <c r="I366" s="335"/>
      <c r="J366" s="369" t="str">
        <f>+IF(K366=""," ",VLOOKUP(K366,PUC!$B:$C,2,FALSE))</f>
        <v xml:space="preserve"> </v>
      </c>
      <c r="K366" s="335"/>
      <c r="L366" s="11" t="str">
        <f>+IF(M366=""," ",VLOOKUP(M366,Listas!$F$9:$G$17,2,FALSE))</f>
        <v xml:space="preserve"> </v>
      </c>
      <c r="M366" s="357"/>
      <c r="N366" s="346"/>
      <c r="O366" s="29"/>
      <c r="P366" s="30"/>
      <c r="Q366" s="30"/>
      <c r="R366" s="30"/>
      <c r="S366" s="30"/>
      <c r="T366" s="30"/>
      <c r="U366" s="30"/>
      <c r="V366" s="30"/>
      <c r="W366" s="30"/>
      <c r="X366" s="30"/>
      <c r="Y366" s="30"/>
      <c r="Z366" s="31"/>
      <c r="AA366" s="59"/>
    </row>
    <row r="367" spans="1:27" s="60" customFormat="1" ht="38.25">
      <c r="A367" s="8"/>
      <c r="B367" s="11" t="str">
        <f>+IFERROR(VLOOKUP(C367,Listas!$L$8:$M$101,2,FALSE),"")</f>
        <v>10080101</v>
      </c>
      <c r="C367" s="335" t="s">
        <v>508</v>
      </c>
      <c r="D367" s="273"/>
      <c r="E367" s="274"/>
      <c r="F367" s="370" t="s">
        <v>1251</v>
      </c>
      <c r="G367" s="401" t="s">
        <v>1252</v>
      </c>
      <c r="H367" s="9" t="str">
        <f>+IF(I367=""," ",VLOOKUP(I367,Listas!$I$8:$J$10,2,FALSE))</f>
        <v xml:space="preserve"> </v>
      </c>
      <c r="I367" s="335"/>
      <c r="J367" s="369" t="str">
        <f>+IF(K367=""," ",VLOOKUP(K367,PUC!$B:$C,2,FALSE))</f>
        <v xml:space="preserve"> </v>
      </c>
      <c r="K367" s="335"/>
      <c r="L367" s="11" t="str">
        <f>+IF(M367=""," ",VLOOKUP(M367,Listas!$F$9:$G$17,2,FALSE))</f>
        <v xml:space="preserve"> </v>
      </c>
      <c r="M367" s="357"/>
      <c r="N367" s="346"/>
      <c r="O367" s="29"/>
      <c r="P367" s="30"/>
      <c r="Q367" s="30"/>
      <c r="R367" s="30"/>
      <c r="S367" s="30"/>
      <c r="T367" s="30"/>
      <c r="U367" s="30"/>
      <c r="V367" s="30"/>
      <c r="W367" s="30"/>
      <c r="X367" s="30"/>
      <c r="Y367" s="30"/>
      <c r="Z367" s="31"/>
      <c r="AA367" s="59"/>
    </row>
    <row r="368" spans="1:27" s="60" customFormat="1" ht="38.25">
      <c r="A368" s="8"/>
      <c r="B368" s="11" t="str">
        <f>+IFERROR(VLOOKUP(C368,Listas!$L$8:$M$101,2,FALSE),"")</f>
        <v>10080101</v>
      </c>
      <c r="C368" s="335" t="s">
        <v>508</v>
      </c>
      <c r="D368" s="273"/>
      <c r="E368" s="274"/>
      <c r="F368" s="370"/>
      <c r="G368" s="401" t="s">
        <v>1346</v>
      </c>
      <c r="H368" s="9" t="str">
        <f>+IF(I368=""," ",VLOOKUP(I368,Listas!$I$8:$J$10,2,FALSE))</f>
        <v>02</v>
      </c>
      <c r="I368" s="335" t="s">
        <v>464</v>
      </c>
      <c r="J368" s="369">
        <f>+IF(K368=""," ",VLOOKUP(K368,PUC!$B:$C,2,FALSE))</f>
        <v>6208020501</v>
      </c>
      <c r="K368" s="335" t="s">
        <v>803</v>
      </c>
      <c r="L368" s="11" t="str">
        <f>+IF(M368=""," ",VLOOKUP(M368,Listas!$F$9:$G$17,2,FALSE))</f>
        <v>10</v>
      </c>
      <c r="M368" s="357" t="s">
        <v>460</v>
      </c>
      <c r="N368" s="346">
        <f>4500000*0.5</f>
        <v>2250000</v>
      </c>
      <c r="O368" s="29"/>
      <c r="P368" s="30"/>
      <c r="Q368" s="30"/>
      <c r="R368" s="30"/>
      <c r="S368" s="30"/>
      <c r="T368" s="30"/>
      <c r="U368" s="30"/>
      <c r="V368" s="30"/>
      <c r="W368" s="30"/>
      <c r="X368" s="30"/>
      <c r="Y368" s="30"/>
      <c r="Z368" s="31"/>
      <c r="AA368" s="59"/>
    </row>
    <row r="369" spans="1:27" s="60" customFormat="1" ht="29.25" customHeight="1">
      <c r="A369" s="8"/>
      <c r="B369" s="11" t="str">
        <f>+IFERROR(VLOOKUP(C369,Listas!$L$8:$M$101,2,FALSE),"")</f>
        <v>10080101</v>
      </c>
      <c r="C369" s="335" t="s">
        <v>508</v>
      </c>
      <c r="D369" s="273"/>
      <c r="E369" s="274"/>
      <c r="F369" s="370"/>
      <c r="G369" s="401"/>
      <c r="H369" s="9" t="str">
        <f>+IF(I369=""," ",VLOOKUP(I369,Listas!$I$8:$J$10,2,FALSE))</f>
        <v xml:space="preserve"> </v>
      </c>
      <c r="I369" s="335"/>
      <c r="J369" s="369" t="str">
        <f>+IF(K369=""," ",VLOOKUP(K369,PUC!$B:$C,2,FALSE))</f>
        <v xml:space="preserve"> </v>
      </c>
      <c r="K369" s="335"/>
      <c r="L369" s="11" t="str">
        <f>+IF(M369=""," ",VLOOKUP(M369,Listas!$F$9:$G$17,2,FALSE))</f>
        <v xml:space="preserve"> </v>
      </c>
      <c r="M369" s="357"/>
      <c r="N369" s="346"/>
      <c r="O369" s="29"/>
      <c r="P369" s="30"/>
      <c r="Q369" s="30"/>
      <c r="R369" s="30"/>
      <c r="S369" s="30"/>
      <c r="T369" s="30"/>
      <c r="U369" s="30"/>
      <c r="V369" s="30"/>
      <c r="W369" s="30"/>
      <c r="X369" s="30"/>
      <c r="Y369" s="30"/>
      <c r="Z369" s="31"/>
      <c r="AA369" s="59"/>
    </row>
    <row r="370" spans="1:27" s="60" customFormat="1" ht="29.25" customHeight="1" thickBot="1">
      <c r="A370" s="8"/>
      <c r="B370" s="22" t="str">
        <f>+IFERROR(VLOOKUP(C370,Listas!$L$8:$M$101,2,FALSE),"")</f>
        <v>10080101</v>
      </c>
      <c r="C370" s="341" t="s">
        <v>508</v>
      </c>
      <c r="D370" s="277"/>
      <c r="E370" s="278"/>
      <c r="F370" s="277"/>
      <c r="G370" s="278"/>
      <c r="H370" s="21" t="str">
        <f>+IF(I370=""," ",VLOOKUP(I370,Listas!$I$8:$J$10,2,FALSE))</f>
        <v xml:space="preserve"> </v>
      </c>
      <c r="I370" s="341"/>
      <c r="J370" s="376" t="str">
        <f>+IF(K370=""," ",VLOOKUP(K370,PUC!$B:$C,2,FALSE))</f>
        <v xml:space="preserve"> </v>
      </c>
      <c r="K370" s="341"/>
      <c r="L370" s="22" t="str">
        <f>+IF(M370=""," ",VLOOKUP(M370,Listas!$F$9:$G$17,2,FALSE))</f>
        <v xml:space="preserve"> </v>
      </c>
      <c r="M370" s="359"/>
      <c r="N370" s="348"/>
      <c r="O370" s="23"/>
      <c r="P370" s="24"/>
      <c r="Q370" s="24"/>
      <c r="R370" s="24"/>
      <c r="S370" s="24"/>
      <c r="T370" s="24"/>
      <c r="U370" s="24"/>
      <c r="V370" s="24"/>
      <c r="W370" s="24"/>
      <c r="X370" s="24"/>
      <c r="Y370" s="24"/>
      <c r="Z370" s="25"/>
      <c r="AA370" s="59"/>
    </row>
    <row r="371" spans="1:27" s="60" customFormat="1" ht="51" customHeight="1">
      <c r="A371" s="8"/>
      <c r="B371" s="20" t="str">
        <f>+IFERROR(VLOOKUP(C371,Listas!$L$8:$M$101,2,FALSE),"")</f>
        <v>10080102</v>
      </c>
      <c r="C371" s="340" t="s">
        <v>509</v>
      </c>
      <c r="D371" s="275"/>
      <c r="E371" s="276"/>
      <c r="F371" s="630" t="s">
        <v>1253</v>
      </c>
      <c r="G371" s="402" t="s">
        <v>1254</v>
      </c>
      <c r="H371" s="18" t="str">
        <f>+IF(I371=""," ",VLOOKUP(I371,Listas!$I$8:$J$10,2,FALSE))</f>
        <v xml:space="preserve"> </v>
      </c>
      <c r="I371" s="340"/>
      <c r="J371" s="375" t="str">
        <f>+IF(K371=""," ",VLOOKUP(K371,PUC!$B:$C,2,FALSE))</f>
        <v xml:space="preserve"> </v>
      </c>
      <c r="K371" s="340"/>
      <c r="L371" s="20" t="str">
        <f>+IF(M371=""," ",VLOOKUP(M371,Listas!$F$9:$G$17,2,FALSE))</f>
        <v xml:space="preserve"> </v>
      </c>
      <c r="M371" s="358"/>
      <c r="N371" s="347"/>
      <c r="O371" s="429"/>
      <c r="P371" s="430"/>
      <c r="Q371" s="430"/>
      <c r="R371" s="430"/>
      <c r="S371" s="430"/>
      <c r="T371" s="430"/>
      <c r="U371" s="430"/>
      <c r="V371" s="430"/>
      <c r="W371" s="430"/>
      <c r="X371" s="430"/>
      <c r="Y371" s="430"/>
      <c r="Z371" s="431"/>
      <c r="AA371" s="59"/>
    </row>
    <row r="372" spans="1:27" s="60" customFormat="1" ht="29.25" customHeight="1">
      <c r="A372" s="8"/>
      <c r="B372" s="11" t="str">
        <f>+IFERROR(VLOOKUP(C372,Listas!$L$8:$M$101,2,FALSE),"")</f>
        <v>10080102</v>
      </c>
      <c r="C372" s="335" t="s">
        <v>509</v>
      </c>
      <c r="D372" s="273"/>
      <c r="E372" s="274"/>
      <c r="F372" s="622"/>
      <c r="G372" s="401" t="s">
        <v>1348</v>
      </c>
      <c r="H372" s="9" t="str">
        <f>+IF(I372=""," ",VLOOKUP(I372,Listas!$I$8:$J$10,2,FALSE))</f>
        <v>02</v>
      </c>
      <c r="I372" s="335" t="s">
        <v>464</v>
      </c>
      <c r="J372" s="369">
        <f>+IF(K372=""," ",VLOOKUP(K372,PUC!$B:$C,2,FALSE))</f>
        <v>6208020501</v>
      </c>
      <c r="K372" s="335" t="s">
        <v>803</v>
      </c>
      <c r="L372" s="11" t="str">
        <f>+IF(M372=""," ",VLOOKUP(M372,Listas!$F$9:$G$17,2,FALSE))</f>
        <v>02</v>
      </c>
      <c r="M372" s="357" t="s">
        <v>444</v>
      </c>
      <c r="N372" s="346">
        <f>+MROUND((576000*1.05*2*AA372),1000)</f>
        <v>2419000</v>
      </c>
      <c r="O372" s="29"/>
      <c r="P372" s="30"/>
      <c r="Q372" s="30"/>
      <c r="R372" s="30"/>
      <c r="S372" s="30"/>
      <c r="T372" s="30"/>
      <c r="U372" s="30"/>
      <c r="V372" s="30"/>
      <c r="W372" s="30"/>
      <c r="X372" s="30"/>
      <c r="Y372" s="30"/>
      <c r="Z372" s="31"/>
      <c r="AA372" s="59">
        <v>2</v>
      </c>
    </row>
    <row r="373" spans="1:27" s="60" customFormat="1" ht="29.25" customHeight="1">
      <c r="A373" s="8"/>
      <c r="B373" s="33" t="str">
        <f>+IFERROR(VLOOKUP(C373,Listas!$L$8:$M$101,2,FALSE),"")</f>
        <v>10080102</v>
      </c>
      <c r="C373" s="343" t="s">
        <v>509</v>
      </c>
      <c r="D373" s="273"/>
      <c r="E373" s="274"/>
      <c r="F373" s="622"/>
      <c r="G373" s="401" t="s">
        <v>1348</v>
      </c>
      <c r="H373" s="9" t="str">
        <f>+IF(I373=""," ",VLOOKUP(I373,Listas!$I$8:$J$10,2,FALSE))</f>
        <v>02</v>
      </c>
      <c r="I373" s="335" t="s">
        <v>464</v>
      </c>
      <c r="J373" s="369">
        <f>+IF(K373=""," ",VLOOKUP(K373,PUC!$B:$C,2,FALSE))</f>
        <v>6208020505</v>
      </c>
      <c r="K373" s="335" t="s">
        <v>804</v>
      </c>
      <c r="L373" s="11" t="str">
        <f>+IF(M373=""," ",VLOOKUP(M373,Listas!$F$9:$G$17,2,FALSE))</f>
        <v>02</v>
      </c>
      <c r="M373" s="357" t="s">
        <v>444</v>
      </c>
      <c r="N373" s="346">
        <f>138000*3</f>
        <v>414000</v>
      </c>
      <c r="O373" s="29"/>
      <c r="P373" s="30"/>
      <c r="Q373" s="30"/>
      <c r="R373" s="30"/>
      <c r="S373" s="30"/>
      <c r="T373" s="30"/>
      <c r="U373" s="30"/>
      <c r="V373" s="30"/>
      <c r="W373" s="30"/>
      <c r="X373" s="30"/>
      <c r="Y373" s="30"/>
      <c r="Z373" s="31"/>
      <c r="AA373" s="59"/>
    </row>
    <row r="374" spans="1:27" s="60" customFormat="1" ht="29.25" customHeight="1">
      <c r="A374" s="8"/>
      <c r="B374" s="11" t="str">
        <f>+IFERROR(VLOOKUP(C374,Listas!$L$8:$M$101,2,FALSE),"")</f>
        <v>10080102</v>
      </c>
      <c r="C374" s="335" t="s">
        <v>509</v>
      </c>
      <c r="D374" s="273"/>
      <c r="E374" s="274"/>
      <c r="F374" s="622"/>
      <c r="G374" s="401" t="s">
        <v>1348</v>
      </c>
      <c r="H374" s="9" t="str">
        <f>+IF(I374=""," ",VLOOKUP(I374,Listas!$I$8:$J$10,2,FALSE))</f>
        <v>02</v>
      </c>
      <c r="I374" s="335" t="s">
        <v>464</v>
      </c>
      <c r="J374" s="369">
        <f>+IF(K374=""," ",VLOOKUP(K374,PUC!$B:$C,2,FALSE))</f>
        <v>6208020503</v>
      </c>
      <c r="K374" s="335" t="s">
        <v>805</v>
      </c>
      <c r="L374" s="11" t="str">
        <f>+IF(M374=""," ",VLOOKUP(M374,Listas!$F$9:$G$17,2,FALSE))</f>
        <v>02</v>
      </c>
      <c r="M374" s="357" t="s">
        <v>444</v>
      </c>
      <c r="N374" s="346">
        <f>AA372*500000</f>
        <v>1000000</v>
      </c>
      <c r="O374" s="29"/>
      <c r="P374" s="30"/>
      <c r="Q374" s="30"/>
      <c r="R374" s="30"/>
      <c r="S374" s="30"/>
      <c r="T374" s="30"/>
      <c r="U374" s="30"/>
      <c r="V374" s="30"/>
      <c r="W374" s="30"/>
      <c r="X374" s="30"/>
      <c r="Y374" s="30"/>
      <c r="Z374" s="31"/>
      <c r="AA374" s="59"/>
    </row>
    <row r="375" spans="1:27" s="60" customFormat="1" ht="29.25" customHeight="1">
      <c r="A375" s="8"/>
      <c r="B375" s="33" t="str">
        <f>+IFERROR(VLOOKUP(C375,Listas!$L$8:$M$101,2,FALSE),"")</f>
        <v>10080102</v>
      </c>
      <c r="C375" s="343" t="s">
        <v>509</v>
      </c>
      <c r="D375" s="273"/>
      <c r="E375" s="274"/>
      <c r="F375" s="622"/>
      <c r="G375" s="401" t="s">
        <v>1348</v>
      </c>
      <c r="H375" s="9" t="str">
        <f>+IF(I375=""," ",VLOOKUP(I375,Listas!$I$8:$J$10,2,FALSE))</f>
        <v>04</v>
      </c>
      <c r="I375" s="335" t="s">
        <v>466</v>
      </c>
      <c r="J375" s="369">
        <f>+IF(K375=""," ",VLOOKUP(K375,PUC!$B:$C,2,FALSE))</f>
        <v>6208100302</v>
      </c>
      <c r="K375" s="335" t="s">
        <v>975</v>
      </c>
      <c r="L375" s="11" t="str">
        <f>+IF(M375=""," ",VLOOKUP(M375,Listas!$F$9:$G$17,2,FALSE))</f>
        <v>02</v>
      </c>
      <c r="M375" s="357" t="s">
        <v>444</v>
      </c>
      <c r="N375" s="346">
        <f>2*600000</f>
        <v>1200000</v>
      </c>
      <c r="O375" s="29"/>
      <c r="P375" s="30"/>
      <c r="Q375" s="30"/>
      <c r="R375" s="30"/>
      <c r="S375" s="30"/>
      <c r="T375" s="30"/>
      <c r="U375" s="30"/>
      <c r="V375" s="30"/>
      <c r="W375" s="30"/>
      <c r="X375" s="30"/>
      <c r="Y375" s="30"/>
      <c r="Z375" s="31"/>
      <c r="AA375" s="59"/>
    </row>
    <row r="376" spans="1:27" s="60" customFormat="1" ht="29.25" customHeight="1">
      <c r="A376" s="8"/>
      <c r="B376" s="11" t="str">
        <f>+IFERROR(VLOOKUP(C376,Listas!$L$8:$M$101,2,FALSE),"")</f>
        <v>10080102</v>
      </c>
      <c r="C376" s="335" t="s">
        <v>509</v>
      </c>
      <c r="D376" s="273"/>
      <c r="E376" s="274"/>
      <c r="F376" s="622"/>
      <c r="G376" s="401"/>
      <c r="H376" s="9" t="str">
        <f>+IF(I376=""," ",VLOOKUP(I376,Listas!$I$8:$J$10,2,FALSE))</f>
        <v xml:space="preserve"> </v>
      </c>
      <c r="I376" s="335"/>
      <c r="J376" s="369" t="str">
        <f>+IF(K376=""," ",VLOOKUP(K376,PUC!$B:$C,2,FALSE))</f>
        <v xml:space="preserve"> </v>
      </c>
      <c r="K376" s="335"/>
      <c r="L376" s="11" t="str">
        <f>+IF(M376=""," ",VLOOKUP(M376,Listas!$F$9:$G$17,2,FALSE))</f>
        <v xml:space="preserve"> </v>
      </c>
      <c r="M376" s="357"/>
      <c r="N376" s="346"/>
      <c r="O376" s="29"/>
      <c r="P376" s="30"/>
      <c r="Q376" s="30"/>
      <c r="R376" s="30"/>
      <c r="S376" s="30"/>
      <c r="T376" s="30"/>
      <c r="U376" s="30"/>
      <c r="V376" s="30"/>
      <c r="W376" s="30"/>
      <c r="X376" s="30"/>
      <c r="Y376" s="30"/>
      <c r="Z376" s="31"/>
      <c r="AA376" s="59"/>
    </row>
    <row r="377" spans="1:27" s="60" customFormat="1" ht="29.25" customHeight="1">
      <c r="A377" s="8"/>
      <c r="B377" s="33" t="str">
        <f>+IFERROR(VLOOKUP(C377,Listas!$L$8:$M$101,2,FALSE),"")</f>
        <v>10080102</v>
      </c>
      <c r="C377" s="343" t="s">
        <v>509</v>
      </c>
      <c r="D377" s="273"/>
      <c r="E377" s="274"/>
      <c r="F377" s="622"/>
      <c r="G377" s="401" t="s">
        <v>1256</v>
      </c>
      <c r="H377" s="9" t="str">
        <f>+IF(I377=""," ",VLOOKUP(I377,Listas!$I$8:$J$10,2,FALSE))</f>
        <v>02</v>
      </c>
      <c r="I377" s="335" t="s">
        <v>464</v>
      </c>
      <c r="J377" s="369">
        <f>+IF(K377=""," ",VLOOKUP(K377,PUC!$B:$C,2,FALSE))</f>
        <v>6208020501</v>
      </c>
      <c r="K377" s="335" t="s">
        <v>803</v>
      </c>
      <c r="L377" s="11" t="str">
        <f>+IF(M377=""," ",VLOOKUP(M377,Listas!$F$9:$G$17,2,FALSE))</f>
        <v>02</v>
      </c>
      <c r="M377" s="357" t="s">
        <v>444</v>
      </c>
      <c r="N377" s="346">
        <f>+MROUND((290000*1.05*2*AA377),1000)</f>
        <v>609000</v>
      </c>
      <c r="O377" s="29"/>
      <c r="P377" s="30"/>
      <c r="Q377" s="30"/>
      <c r="R377" s="30"/>
      <c r="S377" s="30"/>
      <c r="T377" s="30"/>
      <c r="U377" s="30"/>
      <c r="V377" s="30"/>
      <c r="W377" s="30"/>
      <c r="X377" s="30"/>
      <c r="Y377" s="30"/>
      <c r="Z377" s="31"/>
      <c r="AA377" s="59">
        <v>1</v>
      </c>
    </row>
    <row r="378" spans="1:27" s="60" customFormat="1" ht="29.25" customHeight="1">
      <c r="A378" s="8"/>
      <c r="B378" s="11" t="str">
        <f>+IFERROR(VLOOKUP(C378,Listas!$L$8:$M$101,2,FALSE),"")</f>
        <v>10080102</v>
      </c>
      <c r="C378" s="335" t="s">
        <v>509</v>
      </c>
      <c r="D378" s="273"/>
      <c r="E378" s="274"/>
      <c r="F378" s="622"/>
      <c r="G378" s="401" t="s">
        <v>1256</v>
      </c>
      <c r="H378" s="9" t="str">
        <f>+IF(I378=""," ",VLOOKUP(I378,Listas!$I$8:$J$10,2,FALSE))</f>
        <v>02</v>
      </c>
      <c r="I378" s="335" t="s">
        <v>464</v>
      </c>
      <c r="J378" s="369">
        <f>+IF(K378=""," ",VLOOKUP(K378,PUC!$B:$C,2,FALSE))</f>
        <v>6208020505</v>
      </c>
      <c r="K378" s="335" t="s">
        <v>804</v>
      </c>
      <c r="L378" s="11" t="str">
        <f>+IF(M378=""," ",VLOOKUP(M378,Listas!$F$9:$G$17,2,FALSE))</f>
        <v>02</v>
      </c>
      <c r="M378" s="357" t="s">
        <v>444</v>
      </c>
      <c r="N378" s="346">
        <f>138000*3</f>
        <v>414000</v>
      </c>
      <c r="O378" s="29"/>
      <c r="P378" s="30"/>
      <c r="Q378" s="30"/>
      <c r="R378" s="30"/>
      <c r="S378" s="30"/>
      <c r="T378" s="30"/>
      <c r="U378" s="30"/>
      <c r="V378" s="30"/>
      <c r="W378" s="30"/>
      <c r="X378" s="30"/>
      <c r="Y378" s="30"/>
      <c r="Z378" s="31"/>
      <c r="AA378" s="59"/>
    </row>
    <row r="379" spans="1:27" s="60" customFormat="1" ht="29.25" customHeight="1">
      <c r="A379" s="8"/>
      <c r="B379" s="33" t="str">
        <f>+IFERROR(VLOOKUP(C379,Listas!$L$8:$M$101,2,FALSE),"")</f>
        <v>10080102</v>
      </c>
      <c r="C379" s="343" t="s">
        <v>509</v>
      </c>
      <c r="D379" s="273"/>
      <c r="E379" s="274"/>
      <c r="F379" s="622"/>
      <c r="G379" s="401" t="s">
        <v>1256</v>
      </c>
      <c r="H379" s="9" t="str">
        <f>+IF(I379=""," ",VLOOKUP(I379,Listas!$I$8:$J$10,2,FALSE))</f>
        <v>02</v>
      </c>
      <c r="I379" s="335" t="s">
        <v>464</v>
      </c>
      <c r="J379" s="369">
        <f>+IF(K379=""," ",VLOOKUP(K379,PUC!$B:$C,2,FALSE))</f>
        <v>6208020503</v>
      </c>
      <c r="K379" s="335" t="s">
        <v>805</v>
      </c>
      <c r="L379" s="11" t="str">
        <f>+IF(M379=""," ",VLOOKUP(M379,Listas!$F$9:$G$17,2,FALSE))</f>
        <v>02</v>
      </c>
      <c r="M379" s="357" t="s">
        <v>444</v>
      </c>
      <c r="N379" s="346">
        <f>AA377*500000</f>
        <v>500000</v>
      </c>
      <c r="O379" s="29"/>
      <c r="P379" s="30"/>
      <c r="Q379" s="30"/>
      <c r="R379" s="30"/>
      <c r="S379" s="30"/>
      <c r="T379" s="30"/>
      <c r="U379" s="30"/>
      <c r="V379" s="30"/>
      <c r="W379" s="30"/>
      <c r="X379" s="30"/>
      <c r="Y379" s="30"/>
      <c r="Z379" s="31"/>
      <c r="AA379" s="59"/>
    </row>
    <row r="380" spans="1:27" s="60" customFormat="1" ht="29.25" customHeight="1">
      <c r="A380" s="8"/>
      <c r="B380" s="11" t="str">
        <f>+IFERROR(VLOOKUP(C380,Listas!$L$8:$M$101,2,FALSE),"")</f>
        <v>10080102</v>
      </c>
      <c r="C380" s="335" t="s">
        <v>509</v>
      </c>
      <c r="D380" s="273"/>
      <c r="E380" s="274"/>
      <c r="F380" s="622"/>
      <c r="G380" s="401" t="s">
        <v>1256</v>
      </c>
      <c r="H380" s="9" t="str">
        <f>+IF(I380=""," ",VLOOKUP(I380,Listas!$I$8:$J$10,2,FALSE))</f>
        <v>04</v>
      </c>
      <c r="I380" s="335" t="s">
        <v>466</v>
      </c>
      <c r="J380" s="369">
        <f>+IF(K380=""," ",VLOOKUP(K380,PUC!$B:$C,2,FALSE))</f>
        <v>6208022101</v>
      </c>
      <c r="K380" s="335" t="s">
        <v>976</v>
      </c>
      <c r="L380" s="11" t="str">
        <f>+IF(M380=""," ",VLOOKUP(M380,Listas!$F$9:$G$17,2,FALSE))</f>
        <v>02</v>
      </c>
      <c r="M380" s="357" t="s">
        <v>444</v>
      </c>
      <c r="N380" s="346">
        <f>1*600000</f>
        <v>600000</v>
      </c>
      <c r="O380" s="29"/>
      <c r="P380" s="30"/>
      <c r="Q380" s="30"/>
      <c r="R380" s="30"/>
      <c r="S380" s="30"/>
      <c r="T380" s="30"/>
      <c r="U380" s="30"/>
      <c r="V380" s="30"/>
      <c r="W380" s="30"/>
      <c r="X380" s="30"/>
      <c r="Y380" s="30"/>
      <c r="Z380" s="31"/>
      <c r="AA380" s="59"/>
    </row>
    <row r="381" spans="1:27" s="60" customFormat="1" ht="29.25" customHeight="1">
      <c r="A381" s="8"/>
      <c r="B381" s="33" t="str">
        <f>+IFERROR(VLOOKUP(C381,Listas!$L$8:$M$101,2,FALSE),"")</f>
        <v>10080102</v>
      </c>
      <c r="C381" s="343" t="s">
        <v>509</v>
      </c>
      <c r="D381" s="273"/>
      <c r="E381" s="274"/>
      <c r="F381" s="622"/>
      <c r="G381" s="401"/>
      <c r="H381" s="9" t="str">
        <f>+IF(I381=""," ",VLOOKUP(I381,Listas!$I$8:$J$10,2,FALSE))</f>
        <v xml:space="preserve"> </v>
      </c>
      <c r="I381" s="335"/>
      <c r="J381" s="369" t="str">
        <f>+IF(K381=""," ",VLOOKUP(K381,PUC!$B:$C,2,FALSE))</f>
        <v xml:space="preserve"> </v>
      </c>
      <c r="K381" s="335"/>
      <c r="L381" s="11" t="str">
        <f>+IF(M381=""," ",VLOOKUP(M381,Listas!$F$9:$G$17,2,FALSE))</f>
        <v xml:space="preserve"> </v>
      </c>
      <c r="M381" s="357"/>
      <c r="N381" s="346"/>
      <c r="O381" s="29"/>
      <c r="P381" s="30"/>
      <c r="Q381" s="30"/>
      <c r="R381" s="30"/>
      <c r="S381" s="30"/>
      <c r="T381" s="30"/>
      <c r="U381" s="30"/>
      <c r="V381" s="30"/>
      <c r="W381" s="30"/>
      <c r="X381" s="30"/>
      <c r="Y381" s="30"/>
      <c r="Z381" s="31"/>
      <c r="AA381" s="59"/>
    </row>
    <row r="382" spans="1:27" s="60" customFormat="1" ht="51">
      <c r="A382" s="8"/>
      <c r="B382" s="11" t="str">
        <f>+IFERROR(VLOOKUP(C382,Listas!$L$8:$M$101,2,FALSE),"")</f>
        <v>10080102</v>
      </c>
      <c r="C382" s="335" t="s">
        <v>509</v>
      </c>
      <c r="D382" s="273"/>
      <c r="E382" s="274"/>
      <c r="F382" s="623"/>
      <c r="G382" s="401" t="s">
        <v>1255</v>
      </c>
      <c r="H382" s="9" t="str">
        <f>+IF(I382=""," ",VLOOKUP(I382,Listas!$I$8:$J$10,2,FALSE))</f>
        <v xml:space="preserve"> </v>
      </c>
      <c r="I382" s="335"/>
      <c r="J382" s="369" t="str">
        <f>+IF(K382=""," ",VLOOKUP(K382,PUC!$B:$C,2,FALSE))</f>
        <v xml:space="preserve"> </v>
      </c>
      <c r="K382" s="335"/>
      <c r="L382" s="11" t="str">
        <f>+IF(M382=""," ",VLOOKUP(M382,Listas!$F$9:$G$17,2,FALSE))</f>
        <v xml:space="preserve"> </v>
      </c>
      <c r="M382" s="357"/>
      <c r="N382" s="346"/>
      <c r="O382" s="29"/>
      <c r="P382" s="30"/>
      <c r="Q382" s="30"/>
      <c r="R382" s="30"/>
      <c r="S382" s="30"/>
      <c r="T382" s="30"/>
      <c r="U382" s="30"/>
      <c r="V382" s="30"/>
      <c r="W382" s="30"/>
      <c r="X382" s="30"/>
      <c r="Y382" s="30"/>
      <c r="Z382" s="31"/>
      <c r="AA382" s="59"/>
    </row>
    <row r="383" spans="1:27" s="60" customFormat="1" ht="29.25" customHeight="1">
      <c r="A383" s="8"/>
      <c r="B383" s="33" t="str">
        <f>+IFERROR(VLOOKUP(C383,Listas!$L$8:$M$101,2,FALSE),"")</f>
        <v>10080102</v>
      </c>
      <c r="C383" s="343" t="s">
        <v>509</v>
      </c>
      <c r="D383" s="273"/>
      <c r="E383" s="274"/>
      <c r="F383" s="621" t="s">
        <v>1257</v>
      </c>
      <c r="G383" s="401" t="s">
        <v>1258</v>
      </c>
      <c r="H383" s="9" t="str">
        <f>+IF(I383=""," ",VLOOKUP(I383,Listas!$I$8:$J$10,2,FALSE))</f>
        <v xml:space="preserve"> </v>
      </c>
      <c r="I383" s="335"/>
      <c r="J383" s="369" t="str">
        <f>+IF(K383=""," ",VLOOKUP(K383,PUC!$B:$C,2,FALSE))</f>
        <v xml:space="preserve"> </v>
      </c>
      <c r="K383" s="335"/>
      <c r="L383" s="11" t="str">
        <f>+IF(M383=""," ",VLOOKUP(M383,Listas!$F$9:$G$17,2,FALSE))</f>
        <v xml:space="preserve"> </v>
      </c>
      <c r="M383" s="357"/>
      <c r="N383" s="346"/>
      <c r="O383" s="29"/>
      <c r="P383" s="30"/>
      <c r="Q383" s="30"/>
      <c r="R383" s="30"/>
      <c r="S383" s="30"/>
      <c r="T383" s="30"/>
      <c r="U383" s="30"/>
      <c r="V383" s="30"/>
      <c r="W383" s="30"/>
      <c r="X383" s="30"/>
      <c r="Y383" s="30"/>
      <c r="Z383" s="31"/>
      <c r="AA383" s="59"/>
    </row>
    <row r="384" spans="1:27" s="60" customFormat="1" ht="29.25" customHeight="1">
      <c r="A384" s="8"/>
      <c r="B384" s="11" t="str">
        <f>+IFERROR(VLOOKUP(C384,Listas!$L$8:$M$101,2,FALSE),"")</f>
        <v>10080102</v>
      </c>
      <c r="C384" s="335" t="s">
        <v>509</v>
      </c>
      <c r="D384" s="273"/>
      <c r="E384" s="274"/>
      <c r="F384" s="622"/>
      <c r="G384" s="401" t="s">
        <v>1259</v>
      </c>
      <c r="H384" s="9" t="str">
        <f>+IF(I384=""," ",VLOOKUP(I384,Listas!$I$8:$J$10,2,FALSE))</f>
        <v xml:space="preserve"> </v>
      </c>
      <c r="I384" s="335"/>
      <c r="J384" s="369" t="str">
        <f>+IF(K384=""," ",VLOOKUP(K384,PUC!$B:$C,2,FALSE))</f>
        <v xml:space="preserve"> </v>
      </c>
      <c r="K384" s="335"/>
      <c r="L384" s="11" t="str">
        <f>+IF(M384=""," ",VLOOKUP(M384,Listas!$F$9:$G$17,2,FALSE))</f>
        <v xml:space="preserve"> </v>
      </c>
      <c r="M384" s="357"/>
      <c r="N384" s="346"/>
      <c r="O384" s="29"/>
      <c r="P384" s="30"/>
      <c r="Q384" s="30"/>
      <c r="R384" s="30"/>
      <c r="S384" s="30"/>
      <c r="T384" s="30"/>
      <c r="U384" s="30"/>
      <c r="V384" s="30"/>
      <c r="W384" s="30"/>
      <c r="X384" s="30"/>
      <c r="Y384" s="30"/>
      <c r="Z384" s="31"/>
      <c r="AA384" s="59"/>
    </row>
    <row r="385" spans="1:27" s="60" customFormat="1" ht="63.75" customHeight="1">
      <c r="A385" s="8"/>
      <c r="B385" s="33" t="str">
        <f>+IFERROR(VLOOKUP(C385,Listas!$L$8:$M$101,2,FALSE),"")</f>
        <v>10080102</v>
      </c>
      <c r="C385" s="343" t="s">
        <v>509</v>
      </c>
      <c r="D385" s="273"/>
      <c r="E385" s="274"/>
      <c r="F385" s="622"/>
      <c r="G385" s="403" t="s">
        <v>1268</v>
      </c>
      <c r="H385" s="392" t="str">
        <f>+IF(I385=""," ",VLOOKUP(I385,Listas!$I$8:$J$10,2,FALSE))</f>
        <v>02</v>
      </c>
      <c r="I385" s="394" t="s">
        <v>464</v>
      </c>
      <c r="J385" s="393">
        <f>+IF(K385=""," ",VLOOKUP(K385,PUC!$B:$C,2,FALSE))</f>
        <v>6208020203</v>
      </c>
      <c r="K385" s="394" t="s">
        <v>811</v>
      </c>
      <c r="L385" s="395" t="str">
        <f>+IF(M385=""," ",VLOOKUP(M385,Listas!$F$9:$G$17,2,FALSE))</f>
        <v>02</v>
      </c>
      <c r="M385" s="396" t="s">
        <v>444</v>
      </c>
      <c r="N385" s="397">
        <v>8058000</v>
      </c>
      <c r="O385" s="29"/>
      <c r="P385" s="30"/>
      <c r="Q385" s="30"/>
      <c r="R385" s="30"/>
      <c r="S385" s="30"/>
      <c r="T385" s="30"/>
      <c r="U385" s="30"/>
      <c r="V385" s="30"/>
      <c r="W385" s="30"/>
      <c r="X385" s="30"/>
      <c r="Y385" s="30"/>
      <c r="Z385" s="31"/>
      <c r="AA385" s="59"/>
    </row>
    <row r="386" spans="1:27" s="60" customFormat="1" ht="29.25" customHeight="1">
      <c r="A386" s="8"/>
      <c r="B386" s="11" t="str">
        <f>+IFERROR(VLOOKUP(C386,Listas!$L$8:$M$101,2,FALSE),"")</f>
        <v>10080102</v>
      </c>
      <c r="C386" s="335" t="s">
        <v>509</v>
      </c>
      <c r="D386" s="273"/>
      <c r="E386" s="274"/>
      <c r="F386" s="622"/>
      <c r="G386" s="401" t="s">
        <v>1260</v>
      </c>
      <c r="H386" s="9" t="str">
        <f>+IF(I386=""," ",VLOOKUP(I386,Listas!$I$8:$J$10,2,FALSE))</f>
        <v xml:space="preserve"> </v>
      </c>
      <c r="I386" s="335"/>
      <c r="J386" s="369" t="str">
        <f>+IF(K386=""," ",VLOOKUP(K386,PUC!$B:$C,2,FALSE))</f>
        <v xml:space="preserve"> </v>
      </c>
      <c r="K386" s="335"/>
      <c r="L386" s="11" t="str">
        <f>+IF(M386=""," ",VLOOKUP(M386,Listas!$F$9:$G$17,2,FALSE))</f>
        <v xml:space="preserve"> </v>
      </c>
      <c r="M386" s="357"/>
      <c r="N386" s="346"/>
      <c r="O386" s="29"/>
      <c r="P386" s="30"/>
      <c r="Q386" s="30"/>
      <c r="R386" s="30"/>
      <c r="S386" s="30"/>
      <c r="T386" s="30"/>
      <c r="U386" s="30"/>
      <c r="V386" s="30"/>
      <c r="W386" s="30"/>
      <c r="X386" s="30"/>
      <c r="Y386" s="30"/>
      <c r="Z386" s="31"/>
      <c r="AA386" s="59"/>
    </row>
    <row r="387" spans="1:27" s="60" customFormat="1" ht="51">
      <c r="A387" s="8"/>
      <c r="B387" s="33" t="str">
        <f>+IFERROR(VLOOKUP(C387,Listas!$L$8:$M$101,2,FALSE),"")</f>
        <v>10080102</v>
      </c>
      <c r="C387" s="343" t="s">
        <v>509</v>
      </c>
      <c r="D387" s="273"/>
      <c r="E387" s="274"/>
      <c r="F387" s="622"/>
      <c r="G387" s="401" t="s">
        <v>1261</v>
      </c>
      <c r="H387" s="9" t="str">
        <f>+IF(I387=""," ",VLOOKUP(I387,Listas!$I$8:$J$10,2,FALSE))</f>
        <v xml:space="preserve"> </v>
      </c>
      <c r="I387" s="335"/>
      <c r="J387" s="369" t="str">
        <f>+IF(K387=""," ",VLOOKUP(K387,PUC!$B:$C,2,FALSE))</f>
        <v xml:space="preserve"> </v>
      </c>
      <c r="K387" s="335"/>
      <c r="L387" s="11" t="str">
        <f>+IF(M387=""," ",VLOOKUP(M387,Listas!$F$9:$G$17,2,FALSE))</f>
        <v xml:space="preserve"> </v>
      </c>
      <c r="M387" s="357"/>
      <c r="N387" s="346"/>
      <c r="O387" s="29"/>
      <c r="P387" s="30"/>
      <c r="Q387" s="30"/>
      <c r="R387" s="30"/>
      <c r="S387" s="30"/>
      <c r="T387" s="30"/>
      <c r="U387" s="30"/>
      <c r="V387" s="30"/>
      <c r="W387" s="30"/>
      <c r="X387" s="30"/>
      <c r="Y387" s="30"/>
      <c r="Z387" s="31"/>
      <c r="AA387" s="59"/>
    </row>
    <row r="388" spans="1:27" s="60" customFormat="1" ht="29.25" customHeight="1">
      <c r="A388" s="8"/>
      <c r="B388" s="11" t="str">
        <f>+IFERROR(VLOOKUP(C388,Listas!$L$8:$M$101,2,FALSE),"")</f>
        <v>10080102</v>
      </c>
      <c r="C388" s="335" t="s">
        <v>509</v>
      </c>
      <c r="D388" s="273"/>
      <c r="E388" s="274"/>
      <c r="F388" s="623"/>
      <c r="G388" s="401" t="s">
        <v>1262</v>
      </c>
      <c r="H388" s="9" t="str">
        <f>+IF(I388=""," ",VLOOKUP(I388,Listas!$I$8:$J$10,2,FALSE))</f>
        <v xml:space="preserve"> </v>
      </c>
      <c r="I388" s="335"/>
      <c r="J388" s="369" t="str">
        <f>+IF(K388=""," ",VLOOKUP(K388,PUC!$B:$C,2,FALSE))</f>
        <v xml:space="preserve"> </v>
      </c>
      <c r="K388" s="335"/>
      <c r="L388" s="11" t="str">
        <f>+IF(M388=""," ",VLOOKUP(M388,Listas!$F$9:$G$17,2,FALSE))</f>
        <v xml:space="preserve"> </v>
      </c>
      <c r="M388" s="357"/>
      <c r="N388" s="346"/>
      <c r="O388" s="29"/>
      <c r="P388" s="30"/>
      <c r="Q388" s="30"/>
      <c r="R388" s="30"/>
      <c r="S388" s="30"/>
      <c r="T388" s="30"/>
      <c r="U388" s="30"/>
      <c r="V388" s="30"/>
      <c r="W388" s="30"/>
      <c r="X388" s="30"/>
      <c r="Y388" s="30"/>
      <c r="Z388" s="31"/>
      <c r="AA388" s="59"/>
    </row>
    <row r="389" spans="1:27" s="60" customFormat="1" ht="29.25" customHeight="1">
      <c r="A389" s="8"/>
      <c r="B389" s="33" t="str">
        <f>+IFERROR(VLOOKUP(C389,Listas!$L$8:$M$101,2,FALSE),"")</f>
        <v>10080102</v>
      </c>
      <c r="C389" s="343" t="s">
        <v>509</v>
      </c>
      <c r="D389" s="273"/>
      <c r="E389" s="274"/>
      <c r="F389" s="370" t="s">
        <v>1263</v>
      </c>
      <c r="G389" s="401" t="s">
        <v>1264</v>
      </c>
      <c r="H389" s="9" t="str">
        <f>+IF(I389=""," ",VLOOKUP(I389,Listas!$I$8:$J$10,2,FALSE))</f>
        <v xml:space="preserve"> </v>
      </c>
      <c r="I389" s="335"/>
      <c r="J389" s="369" t="str">
        <f>+IF(K389=""," ",VLOOKUP(K389,PUC!$B:$C,2,FALSE))</f>
        <v xml:space="preserve"> </v>
      </c>
      <c r="K389" s="335"/>
      <c r="L389" s="11" t="str">
        <f>+IF(M389=""," ",VLOOKUP(M389,Listas!$F$9:$G$17,2,FALSE))</f>
        <v xml:space="preserve"> </v>
      </c>
      <c r="M389" s="357"/>
      <c r="N389" s="346"/>
      <c r="O389" s="29"/>
      <c r="P389" s="30"/>
      <c r="Q389" s="30"/>
      <c r="R389" s="30"/>
      <c r="S389" s="30"/>
      <c r="T389" s="30"/>
      <c r="U389" s="30"/>
      <c r="V389" s="30"/>
      <c r="W389" s="30"/>
      <c r="X389" s="30"/>
      <c r="Y389" s="30"/>
      <c r="Z389" s="31"/>
      <c r="AA389" s="59"/>
    </row>
    <row r="390" spans="1:27" s="60" customFormat="1" ht="51">
      <c r="A390" s="8"/>
      <c r="B390" s="11" t="str">
        <f>+IFERROR(VLOOKUP(C390,Listas!$L$8:$M$101,2,FALSE),"")</f>
        <v>10080102</v>
      </c>
      <c r="C390" s="335" t="s">
        <v>509</v>
      </c>
      <c r="D390" s="273"/>
      <c r="E390" s="274"/>
      <c r="F390" s="621" t="s">
        <v>1265</v>
      </c>
      <c r="G390" s="401" t="s">
        <v>1266</v>
      </c>
      <c r="H390" s="9" t="str">
        <f>+IF(I390=""," ",VLOOKUP(I390,Listas!$I$8:$J$10,2,FALSE))</f>
        <v xml:space="preserve"> </v>
      </c>
      <c r="I390" s="335"/>
      <c r="J390" s="369" t="str">
        <f>+IF(K390=""," ",VLOOKUP(K390,PUC!$B:$C,2,FALSE))</f>
        <v xml:space="preserve"> </v>
      </c>
      <c r="K390" s="335"/>
      <c r="L390" s="11" t="str">
        <f>+IF(M390=""," ",VLOOKUP(M390,Listas!$F$9:$G$17,2,FALSE))</f>
        <v xml:space="preserve"> </v>
      </c>
      <c r="M390" s="357"/>
      <c r="N390" s="346"/>
      <c r="O390" s="29"/>
      <c r="P390" s="30"/>
      <c r="Q390" s="30"/>
      <c r="R390" s="30"/>
      <c r="S390" s="30"/>
      <c r="T390" s="30"/>
      <c r="U390" s="30"/>
      <c r="V390" s="30"/>
      <c r="W390" s="30"/>
      <c r="X390" s="30"/>
      <c r="Y390" s="30"/>
      <c r="Z390" s="31"/>
      <c r="AA390" s="59"/>
    </row>
    <row r="391" spans="1:27" s="60" customFormat="1" ht="51.75" thickBot="1">
      <c r="A391" s="8"/>
      <c r="B391" s="33" t="str">
        <f>+IFERROR(VLOOKUP(C391,Listas!$L$8:$M$101,2,FALSE),"")</f>
        <v>10080102</v>
      </c>
      <c r="C391" s="343" t="s">
        <v>509</v>
      </c>
      <c r="D391" s="273"/>
      <c r="E391" s="274"/>
      <c r="F391" s="623"/>
      <c r="G391" s="401" t="s">
        <v>1267</v>
      </c>
      <c r="H391" s="9" t="str">
        <f>+IF(I391=""," ",VLOOKUP(I391,Listas!$I$8:$J$10,2,FALSE))</f>
        <v xml:space="preserve"> </v>
      </c>
      <c r="I391" s="335"/>
      <c r="J391" s="369" t="str">
        <f>+IF(K391=""," ",VLOOKUP(K391,PUC!$B:$C,2,FALSE))</f>
        <v xml:space="preserve"> </v>
      </c>
      <c r="K391" s="335"/>
      <c r="L391" s="11" t="str">
        <f>+IF(M391=""," ",VLOOKUP(M391,Listas!$F$9:$G$17,2,FALSE))</f>
        <v xml:space="preserve"> </v>
      </c>
      <c r="M391" s="357"/>
      <c r="N391" s="346"/>
      <c r="O391" s="29"/>
      <c r="P391" s="30"/>
      <c r="Q391" s="30"/>
      <c r="R391" s="30"/>
      <c r="S391" s="30"/>
      <c r="T391" s="30"/>
      <c r="U391" s="30"/>
      <c r="V391" s="30"/>
      <c r="W391" s="30"/>
      <c r="X391" s="30"/>
      <c r="Y391" s="30"/>
      <c r="Z391" s="31"/>
      <c r="AA391" s="59"/>
    </row>
    <row r="392" spans="1:27" s="60" customFormat="1" ht="29.25" hidden="1" customHeight="1">
      <c r="A392" s="8"/>
      <c r="B392" s="11" t="str">
        <f>+IFERROR(VLOOKUP(C392,Listas!$L$8:$M$101,2,FALSE),"")</f>
        <v>10080102</v>
      </c>
      <c r="C392" s="335" t="s">
        <v>509</v>
      </c>
      <c r="D392" s="273"/>
      <c r="E392" s="274"/>
      <c r="F392" s="273"/>
      <c r="G392" s="274"/>
      <c r="H392" s="9" t="str">
        <f>+IF(I392=""," ",VLOOKUP(I392,Listas!$I$8:$J$10,2,FALSE))</f>
        <v xml:space="preserve"> </v>
      </c>
      <c r="I392" s="335"/>
      <c r="J392" s="369" t="str">
        <f>+IF(K392=""," ",VLOOKUP(K392,PUC!$B:$C,2,FALSE))</f>
        <v xml:space="preserve"> </v>
      </c>
      <c r="K392" s="335"/>
      <c r="L392" s="11" t="str">
        <f>+IF(M392=""," ",VLOOKUP(M392,Listas!$F$9:$G$17,2,FALSE))</f>
        <v xml:space="preserve"> </v>
      </c>
      <c r="M392" s="357"/>
      <c r="N392" s="346"/>
      <c r="O392" s="29"/>
      <c r="P392" s="30"/>
      <c r="Q392" s="30"/>
      <c r="R392" s="30"/>
      <c r="S392" s="30"/>
      <c r="T392" s="30"/>
      <c r="U392" s="30"/>
      <c r="V392" s="30"/>
      <c r="W392" s="30"/>
      <c r="X392" s="30"/>
      <c r="Y392" s="30"/>
      <c r="Z392" s="31"/>
      <c r="AA392" s="59"/>
    </row>
    <row r="393" spans="1:27" s="60" customFormat="1" ht="29.25" hidden="1" customHeight="1">
      <c r="A393" s="8"/>
      <c r="B393" s="33" t="str">
        <f>+IFERROR(VLOOKUP(C393,Listas!$L$8:$M$101,2,FALSE),"")</f>
        <v>10080102</v>
      </c>
      <c r="C393" s="343" t="s">
        <v>509</v>
      </c>
      <c r="D393" s="273"/>
      <c r="E393" s="274"/>
      <c r="F393" s="273"/>
      <c r="G393" s="274"/>
      <c r="H393" s="9" t="str">
        <f>+IF(I393=""," ",VLOOKUP(I393,Listas!$I$8:$J$10,2,FALSE))</f>
        <v xml:space="preserve"> </v>
      </c>
      <c r="I393" s="335"/>
      <c r="J393" s="369" t="str">
        <f>+IF(K393=""," ",VLOOKUP(K393,PUC!$B:$C,2,FALSE))</f>
        <v xml:space="preserve"> </v>
      </c>
      <c r="K393" s="335"/>
      <c r="L393" s="11" t="str">
        <f>+IF(M393=""," ",VLOOKUP(M393,Listas!$F$9:$G$17,2,FALSE))</f>
        <v xml:space="preserve"> </v>
      </c>
      <c r="M393" s="357"/>
      <c r="N393" s="346"/>
      <c r="O393" s="29"/>
      <c r="P393" s="30"/>
      <c r="Q393" s="30"/>
      <c r="R393" s="30"/>
      <c r="S393" s="30"/>
      <c r="T393" s="30"/>
      <c r="U393" s="30"/>
      <c r="V393" s="30"/>
      <c r="W393" s="30"/>
      <c r="X393" s="30"/>
      <c r="Y393" s="30"/>
      <c r="Z393" s="31"/>
      <c r="AA393" s="59"/>
    </row>
    <row r="394" spans="1:27" s="60" customFormat="1" ht="29.25" hidden="1" customHeight="1">
      <c r="A394" s="8"/>
      <c r="B394" s="11" t="str">
        <f>+IFERROR(VLOOKUP(C394,Listas!$L$8:$M$101,2,FALSE),"")</f>
        <v>10080102</v>
      </c>
      <c r="C394" s="335" t="s">
        <v>509</v>
      </c>
      <c r="D394" s="273"/>
      <c r="E394" s="274"/>
      <c r="F394" s="273"/>
      <c r="G394" s="274"/>
      <c r="H394" s="9" t="str">
        <f>+IF(I394=""," ",VLOOKUP(I394,Listas!$I$8:$J$10,2,FALSE))</f>
        <v xml:space="preserve"> </v>
      </c>
      <c r="I394" s="335"/>
      <c r="J394" s="369" t="str">
        <f>+IF(K394=""," ",VLOOKUP(K394,PUC!$B:$C,2,FALSE))</f>
        <v xml:space="preserve"> </v>
      </c>
      <c r="K394" s="335"/>
      <c r="L394" s="11" t="str">
        <f>+IF(M394=""," ",VLOOKUP(M394,Listas!$F$9:$G$17,2,FALSE))</f>
        <v xml:space="preserve"> </v>
      </c>
      <c r="M394" s="357"/>
      <c r="N394" s="346"/>
      <c r="O394" s="29"/>
      <c r="P394" s="30"/>
      <c r="Q394" s="30"/>
      <c r="R394" s="30"/>
      <c r="S394" s="30"/>
      <c r="T394" s="30"/>
      <c r="U394" s="30"/>
      <c r="V394" s="30"/>
      <c r="W394" s="30"/>
      <c r="X394" s="30"/>
      <c r="Y394" s="30"/>
      <c r="Z394" s="31"/>
      <c r="AA394" s="59"/>
    </row>
    <row r="395" spans="1:27" s="60" customFormat="1" ht="29.25" hidden="1" customHeight="1">
      <c r="A395" s="8"/>
      <c r="B395" s="33" t="str">
        <f>+IFERROR(VLOOKUP(C395,Listas!$L$8:$M$101,2,FALSE),"")</f>
        <v>10080102</v>
      </c>
      <c r="C395" s="343" t="s">
        <v>509</v>
      </c>
      <c r="D395" s="273"/>
      <c r="E395" s="274"/>
      <c r="F395" s="273"/>
      <c r="G395" s="274"/>
      <c r="H395" s="9" t="str">
        <f>+IF(I395=""," ",VLOOKUP(I395,Listas!$I$8:$J$10,2,FALSE))</f>
        <v xml:space="preserve"> </v>
      </c>
      <c r="I395" s="335"/>
      <c r="J395" s="369" t="str">
        <f>+IF(K395=""," ",VLOOKUP(K395,PUC!$B:$C,2,FALSE))</f>
        <v xml:space="preserve"> </v>
      </c>
      <c r="K395" s="335"/>
      <c r="L395" s="11" t="str">
        <f>+IF(M395=""," ",VLOOKUP(M395,Listas!$F$9:$G$17,2,FALSE))</f>
        <v xml:space="preserve"> </v>
      </c>
      <c r="M395" s="357"/>
      <c r="N395" s="346"/>
      <c r="O395" s="29"/>
      <c r="P395" s="30"/>
      <c r="Q395" s="30"/>
      <c r="R395" s="30"/>
      <c r="S395" s="30"/>
      <c r="T395" s="30"/>
      <c r="U395" s="30"/>
      <c r="V395" s="30"/>
      <c r="W395" s="30"/>
      <c r="X395" s="30"/>
      <c r="Y395" s="30"/>
      <c r="Z395" s="31"/>
      <c r="AA395" s="59"/>
    </row>
    <row r="396" spans="1:27" s="60" customFormat="1" ht="29.25" hidden="1" customHeight="1" thickBot="1">
      <c r="A396" s="8"/>
      <c r="B396" s="22" t="str">
        <f>+IFERROR(VLOOKUP(C396,Listas!$L$8:$M$101,2,FALSE),"")</f>
        <v>10080102</v>
      </c>
      <c r="C396" s="341" t="s">
        <v>509</v>
      </c>
      <c r="D396" s="277"/>
      <c r="E396" s="278"/>
      <c r="F396" s="277"/>
      <c r="G396" s="278"/>
      <c r="H396" s="21" t="str">
        <f>+IF(I396=""," ",VLOOKUP(I396,Listas!$I$8:$J$10,2,FALSE))</f>
        <v xml:space="preserve"> </v>
      </c>
      <c r="I396" s="341"/>
      <c r="J396" s="376" t="str">
        <f>+IF(K396=""," ",VLOOKUP(K396,PUC!$B:$C,2,FALSE))</f>
        <v xml:space="preserve"> </v>
      </c>
      <c r="K396" s="341"/>
      <c r="L396" s="22" t="str">
        <f>+IF(M396=""," ",VLOOKUP(M396,Listas!$F$9:$G$17,2,FALSE))</f>
        <v xml:space="preserve"> </v>
      </c>
      <c r="M396" s="359"/>
      <c r="N396" s="348"/>
      <c r="O396" s="23"/>
      <c r="P396" s="24"/>
      <c r="Q396" s="24"/>
      <c r="R396" s="24"/>
      <c r="S396" s="24"/>
      <c r="T396" s="24"/>
      <c r="U396" s="24"/>
      <c r="V396" s="24"/>
      <c r="W396" s="24"/>
      <c r="X396" s="24"/>
      <c r="Y396" s="24"/>
      <c r="Z396" s="25"/>
      <c r="AA396" s="59"/>
    </row>
    <row r="397" spans="1:27" s="60" customFormat="1" ht="29.25" customHeight="1">
      <c r="A397" s="8"/>
      <c r="B397" s="20" t="str">
        <f>+IFERROR(VLOOKUP(C397,Listas!$L$8:$M$101,2,FALSE),"")</f>
        <v>10140101</v>
      </c>
      <c r="C397" s="340" t="s">
        <v>520</v>
      </c>
      <c r="D397" s="275"/>
      <c r="E397" s="276"/>
      <c r="F397" s="275" t="s">
        <v>1269</v>
      </c>
      <c r="G397" s="276" t="s">
        <v>1269</v>
      </c>
      <c r="H397" s="18" t="str">
        <f>+IF(I397=""," ",VLOOKUP(I397,Listas!$I$8:$J$10,2,FALSE))</f>
        <v>02</v>
      </c>
      <c r="I397" s="340" t="s">
        <v>464</v>
      </c>
      <c r="J397" s="375">
        <f>+IF(K397=""," ",VLOOKUP(K397,PUC!$B:$C,2,FALSE))</f>
        <v>6208020303</v>
      </c>
      <c r="K397" s="340" t="s">
        <v>888</v>
      </c>
      <c r="L397" s="20" t="str">
        <f>+IF(M397=""," ",VLOOKUP(M397,Listas!$F$9:$G$17,2,FALSE))</f>
        <v>02</v>
      </c>
      <c r="M397" s="358" t="s">
        <v>444</v>
      </c>
      <c r="N397" s="347">
        <v>9000000</v>
      </c>
      <c r="O397" s="429"/>
      <c r="P397" s="430"/>
      <c r="Q397" s="430"/>
      <c r="R397" s="430"/>
      <c r="S397" s="430"/>
      <c r="T397" s="430"/>
      <c r="U397" s="430"/>
      <c r="V397" s="430"/>
      <c r="W397" s="430"/>
      <c r="X397" s="430"/>
      <c r="Y397" s="430"/>
      <c r="Z397" s="431"/>
      <c r="AA397" s="59"/>
    </row>
    <row r="398" spans="1:27" s="60" customFormat="1" ht="29.25" customHeight="1">
      <c r="A398" s="8"/>
      <c r="B398" s="11" t="str">
        <f>+IFERROR(VLOOKUP(C398,Listas!$L$8:$M$101,2,FALSE),"")</f>
        <v>10140101</v>
      </c>
      <c r="C398" s="335" t="s">
        <v>520</v>
      </c>
      <c r="D398" s="273"/>
      <c r="E398" s="274"/>
      <c r="F398" s="273"/>
      <c r="G398" s="274"/>
      <c r="H398" s="9" t="str">
        <f>+IF(I398=""," ",VLOOKUP(I398,Listas!$I$8:$J$10,2,FALSE))</f>
        <v xml:space="preserve"> </v>
      </c>
      <c r="I398" s="335"/>
      <c r="J398" s="369" t="str">
        <f>+IF(K398=""," ",VLOOKUP(K398,PUC!$B:$C,2,FALSE))</f>
        <v xml:space="preserve"> </v>
      </c>
      <c r="K398" s="335"/>
      <c r="L398" s="11" t="str">
        <f>+IF(M398=""," ",VLOOKUP(M398,Listas!$F$9:$G$17,2,FALSE))</f>
        <v xml:space="preserve"> </v>
      </c>
      <c r="M398" s="357"/>
      <c r="N398" s="346"/>
      <c r="O398" s="29"/>
      <c r="P398" s="30"/>
      <c r="Q398" s="30"/>
      <c r="R398" s="30"/>
      <c r="S398" s="30"/>
      <c r="T398" s="30"/>
      <c r="U398" s="30"/>
      <c r="V398" s="30"/>
      <c r="W398" s="30"/>
      <c r="X398" s="30"/>
      <c r="Y398" s="30"/>
      <c r="Z398" s="31"/>
      <c r="AA398" s="59"/>
    </row>
    <row r="399" spans="1:27" s="60" customFormat="1" ht="29.25" customHeight="1" thickBot="1">
      <c r="A399" s="8"/>
      <c r="B399" s="432" t="str">
        <f>+IFERROR(VLOOKUP(C399,Listas!$L$8:$M$101,2,FALSE),"")</f>
        <v>10130102</v>
      </c>
      <c r="C399" s="341" t="s">
        <v>519</v>
      </c>
      <c r="D399" s="277"/>
      <c r="E399" s="278"/>
      <c r="F399" s="277"/>
      <c r="G399" s="475" t="s">
        <v>1365</v>
      </c>
      <c r="H399" s="21" t="str">
        <f>+IF(I399=""," ",VLOOKUP(I399,Listas!$I$8:$J$10,2,FALSE))</f>
        <v>04</v>
      </c>
      <c r="I399" s="341" t="s">
        <v>466</v>
      </c>
      <c r="J399" s="376">
        <f>+IF(K399=""," ",VLOOKUP(K399,PUC!$B:$C,2,FALSE))</f>
        <v>6208021701</v>
      </c>
      <c r="K399" s="341" t="s">
        <v>983</v>
      </c>
      <c r="L399" s="22" t="str">
        <f>+IF(M399=""," ",VLOOKUP(M399,Listas!$F$9:$G$17,2,FALSE))</f>
        <v>05</v>
      </c>
      <c r="M399" s="359" t="s">
        <v>450</v>
      </c>
      <c r="N399" s="348">
        <v>2345000</v>
      </c>
      <c r="O399" s="23"/>
      <c r="P399" s="24"/>
      <c r="Q399" s="24"/>
      <c r="R399" s="24"/>
      <c r="S399" s="24"/>
      <c r="T399" s="24"/>
      <c r="U399" s="24"/>
      <c r="V399" s="24"/>
      <c r="W399" s="24"/>
      <c r="X399" s="24"/>
      <c r="Y399" s="24"/>
      <c r="Z399" s="25"/>
      <c r="AA399" s="59"/>
    </row>
    <row r="400" spans="1:27" s="60" customFormat="1" ht="29.25" customHeight="1">
      <c r="A400" s="8"/>
      <c r="B400" s="33" t="str">
        <f>+IFERROR(VLOOKUP(C400,Listas!$L$8:$M$101,2,FALSE),"")</f>
        <v>03010102</v>
      </c>
      <c r="C400" s="343" t="s">
        <v>621</v>
      </c>
      <c r="D400" s="281"/>
      <c r="E400" s="282"/>
      <c r="F400" s="281"/>
      <c r="G400" s="433" t="s">
        <v>1270</v>
      </c>
      <c r="H400" s="32" t="str">
        <f>+IF(I400=""," ",VLOOKUP(I400,Listas!$I$8:$J$10,2,FALSE))</f>
        <v>02</v>
      </c>
      <c r="I400" s="343" t="s">
        <v>464</v>
      </c>
      <c r="J400" s="373">
        <f>+IF(K400=""," ",VLOOKUP(K400,PUC!$B:$C,2,FALSE))</f>
        <v>5395959501</v>
      </c>
      <c r="K400" s="343" t="s">
        <v>747</v>
      </c>
      <c r="L400" s="33" t="str">
        <f>+IF(M400=""," ",VLOOKUP(M400,Listas!$F$9:$G$17,2,FALSE))</f>
        <v>02</v>
      </c>
      <c r="M400" s="361" t="s">
        <v>444</v>
      </c>
      <c r="N400" s="345">
        <f>+MROUND('Total Presupuesto'!G42*0.03,1000)</f>
        <v>31761000</v>
      </c>
      <c r="O400" s="426"/>
      <c r="P400" s="427"/>
      <c r="Q400" s="427"/>
      <c r="R400" s="427"/>
      <c r="S400" s="427"/>
      <c r="T400" s="427"/>
      <c r="U400" s="427"/>
      <c r="V400" s="427"/>
      <c r="W400" s="427"/>
      <c r="X400" s="427"/>
      <c r="Y400" s="427"/>
      <c r="Z400" s="428"/>
      <c r="AA400" s="59"/>
    </row>
    <row r="401" spans="1:27" s="60" customFormat="1" ht="29.25" customHeight="1">
      <c r="A401" s="8"/>
      <c r="B401" s="33" t="str">
        <f>+IFERROR(VLOOKUP(C401,Listas!$L$8:$M$101,2,FALSE),"")</f>
        <v>03010102</v>
      </c>
      <c r="C401" s="335" t="s">
        <v>621</v>
      </c>
      <c r="D401" s="273"/>
      <c r="E401" s="274"/>
      <c r="F401" s="273"/>
      <c r="G401" s="434" t="s">
        <v>1271</v>
      </c>
      <c r="H401" s="9" t="str">
        <f>+IF(I401=""," ",VLOOKUP(I401,Listas!$I$8:$J$10,2,FALSE))</f>
        <v>02</v>
      </c>
      <c r="I401" s="343" t="s">
        <v>464</v>
      </c>
      <c r="J401" s="369">
        <f>+IF(K401=""," ",VLOOKUP(K401,PUC!$B:$C,2,FALSE))</f>
        <v>6208080101</v>
      </c>
      <c r="K401" s="335" t="s">
        <v>815</v>
      </c>
      <c r="L401" s="11" t="str">
        <f>+IF(M401=""," ",VLOOKUP(M401,Listas!$F$9:$G$17,2,FALSE))</f>
        <v>05</v>
      </c>
      <c r="M401" s="357" t="s">
        <v>450</v>
      </c>
      <c r="N401" s="346">
        <f>+ROUND(('Total Presupuesto'!G42*(3.1/1000))+('Total Presupuesto'!G42*(3.1/1000)*0.15)+('Total Presupuesto'!G42*(3.1/1000)*0.055),-3)-500000</f>
        <v>3455000</v>
      </c>
      <c r="O401" s="29"/>
      <c r="P401" s="30"/>
      <c r="Q401" s="30"/>
      <c r="R401" s="30"/>
      <c r="S401" s="30"/>
      <c r="T401" s="30"/>
      <c r="U401" s="30"/>
      <c r="V401" s="30"/>
      <c r="W401" s="30"/>
      <c r="X401" s="30"/>
      <c r="Y401" s="30"/>
      <c r="Z401" s="31"/>
      <c r="AA401" s="59"/>
    </row>
    <row r="402" spans="1:27" s="60" customFormat="1" ht="29.25" customHeight="1">
      <c r="A402" s="8"/>
      <c r="B402" s="483" t="s">
        <v>203</v>
      </c>
      <c r="C402" s="483" t="s">
        <v>1368</v>
      </c>
      <c r="D402" s="273"/>
      <c r="E402" s="274"/>
      <c r="F402" s="273"/>
      <c r="G402" s="434" t="s">
        <v>1272</v>
      </c>
      <c r="H402" s="9" t="str">
        <f>+IF(I402=""," ",VLOOKUP(I402,Listas!$I$8:$J$10,2,FALSE))</f>
        <v>02</v>
      </c>
      <c r="I402" s="343" t="s">
        <v>464</v>
      </c>
      <c r="J402" s="369">
        <f>+IF(K402=""," ",VLOOKUP(K402,PUC!$B:$C,2,FALSE))</f>
        <v>6208021007</v>
      </c>
      <c r="K402" s="335" t="s">
        <v>846</v>
      </c>
      <c r="L402" s="11" t="str">
        <f>+IF(M402=""," ",VLOOKUP(M402,Listas!$F$9:$G$17,2,FALSE))</f>
        <v>02</v>
      </c>
      <c r="M402" s="357" t="s">
        <v>444</v>
      </c>
      <c r="N402" s="346">
        <f>+MROUND(('Total Presupuesto'!G42*0.25%),1000)</f>
        <v>2647000</v>
      </c>
      <c r="O402" s="29"/>
      <c r="P402" s="30"/>
      <c r="Q402" s="30"/>
      <c r="R402" s="30"/>
      <c r="S402" s="30"/>
      <c r="T402" s="30"/>
      <c r="U402" s="30"/>
      <c r="V402" s="30"/>
      <c r="W402" s="30"/>
      <c r="X402" s="30"/>
      <c r="Y402" s="30"/>
      <c r="Z402" s="31"/>
      <c r="AA402" s="59"/>
    </row>
    <row r="403" spans="1:27" s="60" customFormat="1" ht="29.25" customHeight="1">
      <c r="A403" s="8"/>
      <c r="B403" s="33" t="str">
        <f>+IFERROR(VLOOKUP(C403,Listas!$L$8:$M$101,2,FALSE),"")</f>
        <v>03010102</v>
      </c>
      <c r="C403" s="335" t="s">
        <v>621</v>
      </c>
      <c r="D403" s="273"/>
      <c r="E403" s="274"/>
      <c r="F403" s="273"/>
      <c r="G403" s="434" t="s">
        <v>1273</v>
      </c>
      <c r="H403" s="9" t="str">
        <f>+IF(I403=""," ",VLOOKUP(I403,Listas!$I$8:$J$10,2,FALSE))</f>
        <v>02</v>
      </c>
      <c r="I403" s="343" t="s">
        <v>464</v>
      </c>
      <c r="J403" s="369">
        <f>+IF(K403=""," ",VLOOKUP(K403,PUC!$B:$C,2,FALSE))</f>
        <v>6208020401</v>
      </c>
      <c r="K403" s="335" t="s">
        <v>872</v>
      </c>
      <c r="L403" s="11" t="str">
        <f>+IF(M403=""," ",VLOOKUP(M403,Listas!$F$9:$G$17,2,FALSE))</f>
        <v>05</v>
      </c>
      <c r="M403" s="357" t="s">
        <v>450</v>
      </c>
      <c r="N403" s="346">
        <v>775000</v>
      </c>
      <c r="O403" s="29" t="s">
        <v>1338</v>
      </c>
      <c r="P403" s="30"/>
      <c r="Q403" s="30"/>
      <c r="R403" s="30"/>
      <c r="S403" s="30"/>
      <c r="T403" s="30"/>
      <c r="U403" s="30"/>
      <c r="V403" s="30"/>
      <c r="W403" s="30"/>
      <c r="X403" s="30"/>
      <c r="Y403" s="30"/>
      <c r="Z403" s="31"/>
      <c r="AA403" s="59"/>
    </row>
    <row r="404" spans="1:27" s="60" customFormat="1" ht="29.25" customHeight="1">
      <c r="A404" s="8"/>
      <c r="B404" s="11" t="str">
        <f>+IFERROR(VLOOKUP(C404,Listas!$L$8:$M$101,2,FALSE),"")</f>
        <v>03010102</v>
      </c>
      <c r="C404" s="335" t="s">
        <v>621</v>
      </c>
      <c r="D404" s="273"/>
      <c r="E404" s="274"/>
      <c r="F404" s="273"/>
      <c r="G404" s="434" t="s">
        <v>1274</v>
      </c>
      <c r="H404" s="9" t="str">
        <f>+IF(I404=""," ",VLOOKUP(I404,Listas!$I$8:$J$10,2,FALSE))</f>
        <v>02</v>
      </c>
      <c r="I404" s="343" t="s">
        <v>464</v>
      </c>
      <c r="J404" s="369">
        <f>+IF(K404=""," ",VLOOKUP(K404,PUC!$B:$C,2,FALSE))</f>
        <v>6208020402</v>
      </c>
      <c r="K404" s="335" t="s">
        <v>871</v>
      </c>
      <c r="L404" s="11" t="str">
        <f>+IF(M404=""," ",VLOOKUP(M404,Listas!$F$9:$G$17,2,FALSE))</f>
        <v>05</v>
      </c>
      <c r="M404" s="357" t="s">
        <v>450</v>
      </c>
      <c r="N404" s="346">
        <v>3192000</v>
      </c>
      <c r="O404" s="29" t="s">
        <v>1339</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35" t="s">
        <v>621</v>
      </c>
      <c r="D405" s="273"/>
      <c r="E405" s="274"/>
      <c r="F405" s="273"/>
      <c r="G405" s="434" t="s">
        <v>1275</v>
      </c>
      <c r="H405" s="9" t="str">
        <f>+IF(I405=""," ",VLOOKUP(I405,Listas!$I$8:$J$10,2,FALSE))</f>
        <v>02</v>
      </c>
      <c r="I405" s="343" t="s">
        <v>464</v>
      </c>
      <c r="J405" s="369">
        <f>+IF(K405=""," ",VLOOKUP(K405,PUC!$B:$C,2,FALSE))</f>
        <v>6208020403</v>
      </c>
      <c r="K405" s="335" t="s">
        <v>873</v>
      </c>
      <c r="L405" s="11" t="str">
        <f>+IF(M405=""," ",VLOOKUP(M405,Listas!$F$9:$G$17,2,FALSE))</f>
        <v>05</v>
      </c>
      <c r="M405" s="357" t="s">
        <v>450</v>
      </c>
      <c r="N405" s="346">
        <v>7069000</v>
      </c>
      <c r="O405" s="29" t="s">
        <v>1340</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5" t="s">
        <v>621</v>
      </c>
      <c r="D406" s="273"/>
      <c r="E406" s="274"/>
      <c r="F406" s="273"/>
      <c r="G406" s="434" t="s">
        <v>1276</v>
      </c>
      <c r="H406" s="9" t="str">
        <f>+IF(I406=""," ",VLOOKUP(I406,Listas!$I$8:$J$10,2,FALSE))</f>
        <v>02</v>
      </c>
      <c r="I406" s="343" t="s">
        <v>464</v>
      </c>
      <c r="J406" s="369">
        <f>+IF(K406=""," ",VLOOKUP(K406,PUC!$B:$C,2,FALSE))</f>
        <v>6208020404</v>
      </c>
      <c r="K406" s="335" t="s">
        <v>876</v>
      </c>
      <c r="L406" s="11" t="str">
        <f>+IF(M406=""," ",VLOOKUP(M406,Listas!$F$9:$G$17,2,FALSE))</f>
        <v>05</v>
      </c>
      <c r="M406" s="357" t="s">
        <v>450</v>
      </c>
      <c r="N406" s="346">
        <v>2736000</v>
      </c>
      <c r="O406" s="29" t="s">
        <v>226</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5" t="s">
        <v>621</v>
      </c>
      <c r="D407" s="273"/>
      <c r="E407" s="274"/>
      <c r="F407" s="273"/>
      <c r="G407" s="434" t="s">
        <v>1277</v>
      </c>
      <c r="H407" s="9" t="str">
        <f>+IF(I407=""," ",VLOOKUP(I407,Listas!$I$8:$J$10,2,FALSE))</f>
        <v>02</v>
      </c>
      <c r="I407" s="343" t="s">
        <v>464</v>
      </c>
      <c r="J407" s="369">
        <f>+IF(K407=""," ",VLOOKUP(K407,PUC!$B:$C,2,FALSE))</f>
        <v>6208020405</v>
      </c>
      <c r="K407" s="335" t="s">
        <v>877</v>
      </c>
      <c r="L407" s="11" t="str">
        <f>+IF(M407=""," ",VLOOKUP(M407,Listas!$F$9:$G$17,2,FALSE))</f>
        <v>05</v>
      </c>
      <c r="M407" s="357" t="s">
        <v>450</v>
      </c>
      <c r="N407" s="346">
        <v>456000</v>
      </c>
      <c r="O407" s="29" t="s">
        <v>1341</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5" t="s">
        <v>621</v>
      </c>
      <c r="D408" s="273"/>
      <c r="E408" s="274"/>
      <c r="F408" s="273"/>
      <c r="G408" s="434" t="s">
        <v>1280</v>
      </c>
      <c r="H408" s="9" t="str">
        <f>+IF(I408=""," ",VLOOKUP(I408,Listas!$I$8:$J$10,2,FALSE))</f>
        <v>02</v>
      </c>
      <c r="I408" s="343" t="s">
        <v>464</v>
      </c>
      <c r="J408" s="369">
        <f>+IF(K408=""," ",VLOOKUP(K408,PUC!$B:$C,2,FALSE))</f>
        <v>6208020406</v>
      </c>
      <c r="K408" s="335" t="s">
        <v>875</v>
      </c>
      <c r="L408" s="11" t="str">
        <f>+IF(M408=""," ",VLOOKUP(M408,Listas!$F$9:$G$17,2,FALSE))</f>
        <v>05</v>
      </c>
      <c r="M408" s="357" t="s">
        <v>450</v>
      </c>
      <c r="N408" s="346">
        <v>3421000</v>
      </c>
      <c r="O408" s="29" t="s">
        <v>1342</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5" t="s">
        <v>621</v>
      </c>
      <c r="D409" s="273"/>
      <c r="E409" s="274"/>
      <c r="F409" s="273"/>
      <c r="G409" s="434" t="s">
        <v>1278</v>
      </c>
      <c r="H409" s="9" t="str">
        <f>+IF(I409=""," ",VLOOKUP(I409,Listas!$I$8:$J$10,2,FALSE))</f>
        <v>02</v>
      </c>
      <c r="I409" s="343" t="s">
        <v>464</v>
      </c>
      <c r="J409" s="369">
        <f>+IF(K409=""," ",VLOOKUP(K409,PUC!$B:$C,2,FALSE))</f>
        <v>6208021001</v>
      </c>
      <c r="K409" s="335" t="s">
        <v>845</v>
      </c>
      <c r="L409" s="11" t="str">
        <f>+IF(M409=""," ",VLOOKUP(M409,Listas!$F$9:$G$17,2,FALSE))</f>
        <v>05</v>
      </c>
      <c r="M409" s="357" t="s">
        <v>450</v>
      </c>
      <c r="N409" s="346">
        <v>365000</v>
      </c>
      <c r="O409" s="29" t="s">
        <v>224</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5" t="s">
        <v>621</v>
      </c>
      <c r="D410" s="273"/>
      <c r="E410" s="274"/>
      <c r="F410" s="273"/>
      <c r="G410" s="434" t="s">
        <v>1279</v>
      </c>
      <c r="H410" s="9" t="str">
        <f>+IF(I410=""," ",VLOOKUP(I410,Listas!$I$8:$J$10,2,FALSE))</f>
        <v>02</v>
      </c>
      <c r="I410" s="343" t="s">
        <v>464</v>
      </c>
      <c r="J410" s="369">
        <f>+IF(K410=""," ",VLOOKUP(K410,PUC!$B:$C,2,FALSE))</f>
        <v>6208022001</v>
      </c>
      <c r="K410" s="335" t="s">
        <v>801</v>
      </c>
      <c r="L410" s="11" t="str">
        <f>+IF(M410=""," ",VLOOKUP(M410,Listas!$F$9:$G$17,2,FALSE))</f>
        <v>05</v>
      </c>
      <c r="M410" s="357" t="s">
        <v>450</v>
      </c>
      <c r="N410" s="346">
        <v>1140000</v>
      </c>
      <c r="O410" s="29" t="s">
        <v>221</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5" t="s">
        <v>621</v>
      </c>
      <c r="D411" s="273"/>
      <c r="E411" s="274"/>
      <c r="F411" s="273"/>
      <c r="G411" s="435" t="s">
        <v>1281</v>
      </c>
      <c r="H411" s="9" t="str">
        <f>+IF(I411=""," ",VLOOKUP(I411,Listas!$I$8:$J$10,2,FALSE))</f>
        <v>02</v>
      </c>
      <c r="I411" s="343" t="s">
        <v>464</v>
      </c>
      <c r="J411" s="369">
        <f>+IF(K411=""," ",VLOOKUP(K411,PUC!$B:$C,2,FALSE))</f>
        <v>6208020309</v>
      </c>
      <c r="K411" s="335" t="s">
        <v>889</v>
      </c>
      <c r="L411" s="11" t="str">
        <f>+IF(M411=""," ",VLOOKUP(M411,Listas!$F$9:$G$17,2,FALSE))</f>
        <v>05</v>
      </c>
      <c r="M411" s="357" t="s">
        <v>450</v>
      </c>
      <c r="N411" s="346">
        <v>31925000</v>
      </c>
      <c r="O411" s="29" t="s">
        <v>228</v>
      </c>
      <c r="P411" s="30"/>
      <c r="Q411" s="30"/>
      <c r="R411" s="30"/>
      <c r="S411" s="30"/>
      <c r="T411" s="30"/>
      <c r="U411" s="30"/>
      <c r="V411" s="30"/>
      <c r="W411" s="30"/>
      <c r="X411" s="30"/>
      <c r="Y411" s="30"/>
      <c r="Z411" s="31"/>
      <c r="AA411" s="59"/>
    </row>
    <row r="412" spans="1:27" s="60" customFormat="1" ht="29.25" customHeight="1" thickBot="1">
      <c r="A412" s="8"/>
      <c r="B412" s="11" t="str">
        <f>+IFERROR(VLOOKUP(C412,Listas!$L$8:$M$101,2,FALSE),"")</f>
        <v>03010102</v>
      </c>
      <c r="C412" s="335" t="s">
        <v>621</v>
      </c>
      <c r="D412" s="273"/>
      <c r="E412" s="274"/>
      <c r="F412" s="273"/>
      <c r="G412" s="435" t="s">
        <v>1282</v>
      </c>
      <c r="H412" s="9" t="str">
        <f>+IF(I412=""," ",VLOOKUP(I412,Listas!$I$8:$J$10,2,FALSE))</f>
        <v>02</v>
      </c>
      <c r="I412" s="335" t="s">
        <v>464</v>
      </c>
      <c r="J412" s="369">
        <f>+IF(K412=""," ",VLOOKUP(K412,PUC!$B:$C,2,FALSE))</f>
        <v>6208021402</v>
      </c>
      <c r="K412" s="335" t="s">
        <v>869</v>
      </c>
      <c r="L412" s="11" t="str">
        <f>+IF(M412=""," ",VLOOKUP(M412,Listas!$F$9:$G$17,2,FALSE))</f>
        <v>05</v>
      </c>
      <c r="M412" s="357" t="s">
        <v>450</v>
      </c>
      <c r="N412" s="346">
        <v>11402000</v>
      </c>
      <c r="O412" s="29" t="s">
        <v>1343</v>
      </c>
      <c r="P412" s="30"/>
      <c r="Q412" s="30"/>
      <c r="R412" s="30"/>
      <c r="S412" s="30"/>
      <c r="T412" s="30"/>
      <c r="U412" s="30"/>
      <c r="V412" s="30"/>
      <c r="W412" s="30"/>
      <c r="X412" s="30"/>
      <c r="Y412" s="30"/>
      <c r="Z412" s="31"/>
      <c r="AA412" s="59"/>
    </row>
    <row r="413" spans="1:27" s="60" customFormat="1" ht="29.25" hidden="1" customHeight="1">
      <c r="A413" s="8"/>
      <c r="B413" s="11" t="str">
        <f>+IFERROR(VLOOKUP(C413,Listas!$L$8:$M$101,2,FALSE),"")</f>
        <v>03010102</v>
      </c>
      <c r="C413" s="335" t="s">
        <v>621</v>
      </c>
      <c r="D413" s="273"/>
      <c r="E413" s="274"/>
      <c r="F413" s="273"/>
      <c r="G413" s="274"/>
      <c r="H413" s="9" t="str">
        <f>+IF(I413=""," ",VLOOKUP(I413,Listas!$I$8:$J$10,2,FALSE))</f>
        <v xml:space="preserve"> </v>
      </c>
      <c r="I413" s="335"/>
      <c r="J413" s="369" t="str">
        <f>+IF(K413=""," ",VLOOKUP(K413,PUC!$B:$C,2,FALSE))</f>
        <v xml:space="preserve"> </v>
      </c>
      <c r="K413" s="335"/>
      <c r="L413" s="11" t="str">
        <f>+IF(M413=""," ",VLOOKUP(M413,Listas!$F$9:$G$17,2,FALSE))</f>
        <v xml:space="preserve"> </v>
      </c>
      <c r="M413" s="357"/>
      <c r="N413" s="346"/>
      <c r="O413" s="29"/>
      <c r="P413" s="30"/>
      <c r="Q413" s="30"/>
      <c r="R413" s="30"/>
      <c r="S413" s="30"/>
      <c r="T413" s="30"/>
      <c r="U413" s="30"/>
      <c r="V413" s="30"/>
      <c r="W413" s="30"/>
      <c r="X413" s="30"/>
      <c r="Y413" s="30"/>
      <c r="Z413" s="31"/>
      <c r="AA413" s="59"/>
    </row>
    <row r="414" spans="1:27" s="60" customFormat="1" ht="29.25" hidden="1" customHeight="1">
      <c r="A414" s="8"/>
      <c r="B414" s="11" t="str">
        <f>+IFERROR(VLOOKUP(C414,Listas!$L$8:$M$101,2,FALSE),"")</f>
        <v>03010102</v>
      </c>
      <c r="C414" s="335" t="s">
        <v>621</v>
      </c>
      <c r="D414" s="273"/>
      <c r="E414" s="274"/>
      <c r="F414" s="273"/>
      <c r="G414" s="274"/>
      <c r="H414" s="9" t="str">
        <f>+IF(I414=""," ",VLOOKUP(I414,Listas!$I$8:$J$10,2,FALSE))</f>
        <v xml:space="preserve"> </v>
      </c>
      <c r="I414" s="335"/>
      <c r="J414" s="369" t="str">
        <f>+IF(K414=""," ",VLOOKUP(K414,PUC!$B:$C,2,FALSE))</f>
        <v xml:space="preserve"> </v>
      </c>
      <c r="K414" s="335"/>
      <c r="L414" s="11" t="str">
        <f>+IF(M414=""," ",VLOOKUP(M414,Listas!$F$9:$G$17,2,FALSE))</f>
        <v xml:space="preserve"> </v>
      </c>
      <c r="M414" s="357"/>
      <c r="N414" s="346"/>
      <c r="O414" s="29"/>
      <c r="P414" s="30"/>
      <c r="Q414" s="30"/>
      <c r="R414" s="30"/>
      <c r="S414" s="30"/>
      <c r="T414" s="30"/>
      <c r="U414" s="30"/>
      <c r="V414" s="30"/>
      <c r="W414" s="30"/>
      <c r="X414" s="30"/>
      <c r="Y414" s="30"/>
      <c r="Z414" s="31"/>
      <c r="AA414" s="59"/>
    </row>
    <row r="415" spans="1:27" s="60" customFormat="1" ht="29.25" hidden="1" customHeight="1">
      <c r="A415" s="8"/>
      <c r="B415" s="11" t="str">
        <f>+IFERROR(VLOOKUP(C415,Listas!$L$8:$M$101,2,FALSE),"")</f>
        <v>03010102</v>
      </c>
      <c r="C415" s="335" t="s">
        <v>621</v>
      </c>
      <c r="D415" s="273"/>
      <c r="E415" s="274"/>
      <c r="F415" s="273"/>
      <c r="G415" s="274"/>
      <c r="H415" s="9" t="str">
        <f>+IF(I415=""," ",VLOOKUP(I415,Listas!$I$8:$J$10,2,FALSE))</f>
        <v xml:space="preserve"> </v>
      </c>
      <c r="I415" s="335"/>
      <c r="J415" s="369" t="str">
        <f>+IF(K415=""," ",VLOOKUP(K415,PUC!$B:$C,2,FALSE))</f>
        <v xml:space="preserve"> </v>
      </c>
      <c r="K415" s="335"/>
      <c r="L415" s="11" t="str">
        <f>+IF(M415=""," ",VLOOKUP(M415,Listas!$F$9:$G$17,2,FALSE))</f>
        <v xml:space="preserve"> </v>
      </c>
      <c r="M415" s="357"/>
      <c r="N415" s="346"/>
      <c r="O415" s="29"/>
      <c r="P415" s="30"/>
      <c r="Q415" s="30"/>
      <c r="R415" s="30"/>
      <c r="S415" s="30"/>
      <c r="T415" s="30"/>
      <c r="U415" s="30"/>
      <c r="V415" s="30"/>
      <c r="W415" s="30"/>
      <c r="X415" s="30"/>
      <c r="Y415" s="30"/>
      <c r="Z415" s="31"/>
      <c r="AA415" s="59"/>
    </row>
    <row r="416" spans="1:27" s="60" customFormat="1" ht="29.25" hidden="1" customHeight="1">
      <c r="A416" s="8"/>
      <c r="B416" s="11" t="str">
        <f>+IFERROR(VLOOKUP(C416,Listas!$L$8:$M$101,2,FALSE),"")</f>
        <v>03010102</v>
      </c>
      <c r="C416" s="335" t="s">
        <v>621</v>
      </c>
      <c r="D416" s="273"/>
      <c r="E416" s="274"/>
      <c r="F416" s="273"/>
      <c r="G416" s="274"/>
      <c r="H416" s="9" t="str">
        <f>+IF(I416=""," ",VLOOKUP(I416,Listas!$I$8:$J$10,2,FALSE))</f>
        <v xml:space="preserve"> </v>
      </c>
      <c r="I416" s="335"/>
      <c r="J416" s="369" t="str">
        <f>+IF(K416=""," ",VLOOKUP(K416,PUC!$B:$C,2,FALSE))</f>
        <v xml:space="preserve"> </v>
      </c>
      <c r="K416" s="335"/>
      <c r="L416" s="11" t="str">
        <f>+IF(M416=""," ",VLOOKUP(M416,Listas!$F$9:$G$17,2,FALSE))</f>
        <v xml:space="preserve"> </v>
      </c>
      <c r="M416" s="357"/>
      <c r="N416" s="346"/>
      <c r="O416" s="29"/>
      <c r="P416" s="30"/>
      <c r="Q416" s="30"/>
      <c r="R416" s="30"/>
      <c r="S416" s="30"/>
      <c r="T416" s="30"/>
      <c r="U416" s="30"/>
      <c r="V416" s="30"/>
      <c r="W416" s="30"/>
      <c r="X416" s="30"/>
      <c r="Y416" s="30"/>
      <c r="Z416" s="31"/>
      <c r="AA416" s="59"/>
    </row>
    <row r="417" spans="1:29" s="60" customFormat="1" ht="29.25" hidden="1" customHeight="1">
      <c r="A417" s="8"/>
      <c r="B417" s="11" t="str">
        <f>+IFERROR(VLOOKUP(C417,Listas!$L$8:$M$101,2,FALSE),"")</f>
        <v>03010102</v>
      </c>
      <c r="C417" s="335" t="s">
        <v>621</v>
      </c>
      <c r="D417" s="273"/>
      <c r="E417" s="274"/>
      <c r="F417" s="273"/>
      <c r="G417" s="274"/>
      <c r="H417" s="9" t="str">
        <f>+IF(I417=""," ",VLOOKUP(I417,Listas!$I$8:$J$10,2,FALSE))</f>
        <v xml:space="preserve"> </v>
      </c>
      <c r="I417" s="335"/>
      <c r="J417" s="369" t="str">
        <f>+IF(K417=""," ",VLOOKUP(K417,PUC!$B:$C,2,FALSE))</f>
        <v xml:space="preserve"> </v>
      </c>
      <c r="K417" s="335"/>
      <c r="L417" s="11" t="str">
        <f>+IF(M417=""," ",VLOOKUP(M417,Listas!$F$9:$G$17,2,FALSE))</f>
        <v xml:space="preserve"> </v>
      </c>
      <c r="M417" s="357"/>
      <c r="N417" s="346"/>
      <c r="O417" s="29"/>
      <c r="P417" s="30"/>
      <c r="Q417" s="30"/>
      <c r="R417" s="30"/>
      <c r="S417" s="30"/>
      <c r="T417" s="30"/>
      <c r="U417" s="30"/>
      <c r="V417" s="30"/>
      <c r="W417" s="30"/>
      <c r="X417" s="30"/>
      <c r="Y417" s="30"/>
      <c r="Z417" s="31"/>
      <c r="AA417" s="59"/>
    </row>
    <row r="418" spans="1:29" s="60" customFormat="1" ht="29.25" hidden="1" customHeight="1">
      <c r="A418" s="8"/>
      <c r="B418" s="11" t="str">
        <f>+IFERROR(VLOOKUP(C418,Listas!$L$8:$M$101,2,FALSE),"")</f>
        <v>03010102</v>
      </c>
      <c r="C418" s="335" t="s">
        <v>621</v>
      </c>
      <c r="D418" s="273"/>
      <c r="E418" s="274"/>
      <c r="F418" s="273"/>
      <c r="G418" s="274"/>
      <c r="H418" s="9" t="str">
        <f>+IF(I418=""," ",VLOOKUP(I418,Listas!$I$8:$J$10,2,FALSE))</f>
        <v xml:space="preserve"> </v>
      </c>
      <c r="I418" s="335"/>
      <c r="J418" s="369" t="str">
        <f>+IF(K418=""," ",VLOOKUP(K418,PUC!$B:$C,2,FALSE))</f>
        <v xml:space="preserve"> </v>
      </c>
      <c r="K418" s="335"/>
      <c r="L418" s="11" t="str">
        <f>+IF(M418=""," ",VLOOKUP(M418,Listas!$F$9:$G$17,2,FALSE))</f>
        <v xml:space="preserve"> </v>
      </c>
      <c r="M418" s="357"/>
      <c r="N418" s="346"/>
      <c r="O418" s="29"/>
      <c r="P418" s="30"/>
      <c r="Q418" s="30"/>
      <c r="R418" s="30"/>
      <c r="S418" s="30"/>
      <c r="T418" s="30"/>
      <c r="U418" s="30"/>
      <c r="V418" s="30"/>
      <c r="W418" s="30"/>
      <c r="X418" s="30"/>
      <c r="Y418" s="30"/>
      <c r="Z418" s="31"/>
      <c r="AA418" s="59"/>
    </row>
    <row r="419" spans="1:29" s="60" customFormat="1" ht="29.25" hidden="1" customHeight="1">
      <c r="A419" s="8"/>
      <c r="B419" s="11" t="str">
        <f>+IFERROR(VLOOKUP(C419,Listas!$L$8:$M$101,2,FALSE),"")</f>
        <v>03010102</v>
      </c>
      <c r="C419" s="335" t="s">
        <v>621</v>
      </c>
      <c r="D419" s="273"/>
      <c r="E419" s="274"/>
      <c r="F419" s="273"/>
      <c r="G419" s="274"/>
      <c r="H419" s="9" t="str">
        <f>+IF(I419=""," ",VLOOKUP(I419,Listas!$I$8:$J$10,2,FALSE))</f>
        <v xml:space="preserve"> </v>
      </c>
      <c r="I419" s="335"/>
      <c r="J419" s="369" t="str">
        <f>+IF(K419=""," ",VLOOKUP(K419,PUC!$B:$C,2,FALSE))</f>
        <v xml:space="preserve"> </v>
      </c>
      <c r="K419" s="335"/>
      <c r="L419" s="11" t="str">
        <f>+IF(M419=""," ",VLOOKUP(M419,Listas!$F$9:$G$17,2,FALSE))</f>
        <v xml:space="preserve"> </v>
      </c>
      <c r="M419" s="357"/>
      <c r="N419" s="346"/>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5" t="s">
        <v>621</v>
      </c>
      <c r="D420" s="273"/>
      <c r="E420" s="274"/>
      <c r="F420" s="273"/>
      <c r="G420" s="274"/>
      <c r="H420" s="9" t="str">
        <f>+IF(I420=""," ",VLOOKUP(I420,Listas!$I$8:$J$10,2,FALSE))</f>
        <v xml:space="preserve"> </v>
      </c>
      <c r="I420" s="335"/>
      <c r="J420" s="369" t="str">
        <f>+IF(K420=""," ",VLOOKUP(K420,PUC!$B:$C,2,FALSE))</f>
        <v xml:space="preserve"> </v>
      </c>
      <c r="K420" s="335"/>
      <c r="L420" s="11" t="str">
        <f>+IF(M420=""," ",VLOOKUP(M420,Listas!$F$9:$G$17,2,FALSE))</f>
        <v xml:space="preserve"> </v>
      </c>
      <c r="M420" s="357"/>
      <c r="N420" s="346"/>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5" t="s">
        <v>621</v>
      </c>
      <c r="D421" s="273"/>
      <c r="E421" s="274"/>
      <c r="F421" s="273"/>
      <c r="G421" s="274"/>
      <c r="H421" s="9" t="str">
        <f>+IF(I421=""," ",VLOOKUP(I421,Listas!$I$8:$J$10,2,FALSE))</f>
        <v xml:space="preserve"> </v>
      </c>
      <c r="I421" s="335"/>
      <c r="J421" s="369" t="str">
        <f>+IF(K421=""," ",VLOOKUP(K421,PUC!$B:$C,2,FALSE))</f>
        <v xml:space="preserve"> </v>
      </c>
      <c r="K421" s="335"/>
      <c r="L421" s="11" t="str">
        <f>+IF(M421=""," ",VLOOKUP(M421,Listas!$F$9:$G$17,2,FALSE))</f>
        <v xml:space="preserve"> </v>
      </c>
      <c r="M421" s="357"/>
      <c r="N421" s="346"/>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5" t="s">
        <v>621</v>
      </c>
      <c r="D422" s="273"/>
      <c r="E422" s="274"/>
      <c r="F422" s="273"/>
      <c r="G422" s="274"/>
      <c r="H422" s="9" t="str">
        <f>+IF(I422=""," ",VLOOKUP(I422,Listas!$I$8:$J$10,2,FALSE))</f>
        <v xml:space="preserve"> </v>
      </c>
      <c r="I422" s="335"/>
      <c r="J422" s="369" t="str">
        <f>+IF(K422=""," ",VLOOKUP(K422,PUC!$B:$C,2,FALSE))</f>
        <v xml:space="preserve"> </v>
      </c>
      <c r="K422" s="335"/>
      <c r="L422" s="11" t="str">
        <f>+IF(M422=""," ",VLOOKUP(M422,Listas!$F$9:$G$17,2,FALSE))</f>
        <v xml:space="preserve"> </v>
      </c>
      <c r="M422" s="357"/>
      <c r="N422" s="346"/>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5" t="s">
        <v>621</v>
      </c>
      <c r="D423" s="273"/>
      <c r="E423" s="274"/>
      <c r="F423" s="273"/>
      <c r="G423" s="274"/>
      <c r="H423" s="9" t="str">
        <f>+IF(I423=""," ",VLOOKUP(I423,Listas!$I$8:$J$10,2,FALSE))</f>
        <v xml:space="preserve"> </v>
      </c>
      <c r="I423" s="335"/>
      <c r="J423" s="369" t="str">
        <f>+IF(K423=""," ",VLOOKUP(K423,PUC!$B:$C,2,FALSE))</f>
        <v xml:space="preserve"> </v>
      </c>
      <c r="K423" s="335"/>
      <c r="L423" s="11" t="str">
        <f>+IF(M423=""," ",VLOOKUP(M423,Listas!$F$9:$G$17,2,FALSE))</f>
        <v xml:space="preserve"> </v>
      </c>
      <c r="M423" s="357"/>
      <c r="N423" s="346"/>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5" t="s">
        <v>621</v>
      </c>
      <c r="D424" s="273"/>
      <c r="E424" s="274"/>
      <c r="F424" s="273"/>
      <c r="G424" s="274"/>
      <c r="H424" s="9" t="str">
        <f>+IF(I424=""," ",VLOOKUP(I424,Listas!$I$8:$J$10,2,FALSE))</f>
        <v xml:space="preserve"> </v>
      </c>
      <c r="I424" s="335"/>
      <c r="J424" s="369" t="str">
        <f>+IF(K424=""," ",VLOOKUP(K424,PUC!$B:$C,2,FALSE))</f>
        <v xml:space="preserve"> </v>
      </c>
      <c r="K424" s="335"/>
      <c r="L424" s="11" t="str">
        <f>+IF(M424=""," ",VLOOKUP(M424,Listas!$F$9:$G$17,2,FALSE))</f>
        <v xml:space="preserve"> </v>
      </c>
      <c r="M424" s="357"/>
      <c r="N424" s="346"/>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
      </c>
      <c r="C425" s="335"/>
      <c r="D425" s="273"/>
      <c r="E425" s="274"/>
      <c r="F425" s="273"/>
      <c r="G425" s="274"/>
      <c r="H425" s="9" t="str">
        <f>+IF(I425=""," ",VLOOKUP(I425,Listas!$I$8:$J$10,2,FALSE))</f>
        <v xml:space="preserve"> </v>
      </c>
      <c r="I425" s="335"/>
      <c r="J425" s="369" t="str">
        <f>+IF(K425=""," ",VLOOKUP(K425,PUC!$B:$C,2,FALSE))</f>
        <v xml:space="preserve"> </v>
      </c>
      <c r="K425" s="335"/>
      <c r="L425" s="11" t="str">
        <f>+IF(M425=""," ",VLOOKUP(M425,Listas!$F$9:$G$17,2,FALSE))</f>
        <v xml:space="preserve"> </v>
      </c>
      <c r="M425" s="357"/>
      <c r="N425" s="346"/>
      <c r="O425" s="29"/>
      <c r="P425" s="30"/>
      <c r="Q425" s="30"/>
      <c r="R425" s="30"/>
      <c r="S425" s="30"/>
      <c r="T425" s="30"/>
      <c r="U425" s="30"/>
      <c r="V425" s="30"/>
      <c r="W425" s="30"/>
      <c r="X425" s="30"/>
      <c r="Y425" s="30"/>
      <c r="Z425" s="31"/>
      <c r="AA425" s="59"/>
    </row>
    <row r="426" spans="1:29" s="60" customFormat="1" ht="29.25" hidden="1" customHeight="1" thickBot="1">
      <c r="A426" s="8"/>
      <c r="B426" s="11" t="str">
        <f>+IFERROR(VLOOKUP(C426,Listas!$L$8:$M$101,2,FALSE),"")</f>
        <v/>
      </c>
      <c r="C426" s="335"/>
      <c r="D426" s="273"/>
      <c r="E426" s="274"/>
      <c r="F426" s="273"/>
      <c r="G426" s="274"/>
      <c r="H426" s="9" t="str">
        <f>+IF(I426=""," ",VLOOKUP(I426,Listas!$I$8:$J$10,2,FALSE))</f>
        <v xml:space="preserve"> </v>
      </c>
      <c r="I426" s="335"/>
      <c r="J426" s="369" t="str">
        <f>+IF(K426=""," ",VLOOKUP(K426,PUC!$B:$C,2,FALSE))</f>
        <v xml:space="preserve"> </v>
      </c>
      <c r="K426" s="335"/>
      <c r="L426" s="11" t="str">
        <f>+IF(M426=""," ",VLOOKUP(M426,Listas!$F$9:$G$17,2,FALSE))</f>
        <v xml:space="preserve"> </v>
      </c>
      <c r="M426" s="357"/>
      <c r="N426" s="346"/>
      <c r="O426" s="29"/>
      <c r="P426" s="30"/>
      <c r="Q426" s="30"/>
      <c r="R426" s="30"/>
      <c r="S426" s="30"/>
      <c r="T426" s="30"/>
      <c r="U426" s="30"/>
      <c r="V426" s="30"/>
      <c r="W426" s="30"/>
      <c r="X426" s="30"/>
      <c r="Y426" s="30"/>
      <c r="Z426" s="31"/>
      <c r="AA426" s="59"/>
    </row>
    <row r="427" spans="1:29" ht="26.25" customHeight="1" thickBot="1">
      <c r="A427" s="197"/>
      <c r="B427" s="632" t="s">
        <v>276</v>
      </c>
      <c r="C427" s="633"/>
      <c r="D427" s="633"/>
      <c r="E427" s="633"/>
      <c r="F427" s="633"/>
      <c r="G427" s="633"/>
      <c r="H427" s="633"/>
      <c r="I427" s="633"/>
      <c r="J427" s="633"/>
      <c r="K427" s="633"/>
      <c r="L427" s="633"/>
      <c r="M427" s="633"/>
      <c r="N427" s="289">
        <f>SUM(N14:N426)</f>
        <v>221762000</v>
      </c>
    </row>
    <row r="428" spans="1:29" ht="13.5" customHeight="1" thickBot="1">
      <c r="A428" s="6"/>
      <c r="B428" s="35"/>
      <c r="C428" s="286"/>
      <c r="D428" s="286"/>
      <c r="E428" s="286"/>
      <c r="F428" s="286"/>
      <c r="G428" s="286"/>
      <c r="H428" s="287"/>
      <c r="I428" s="407"/>
      <c r="J428" s="288"/>
      <c r="K428" s="407"/>
      <c r="L428" s="321"/>
      <c r="M428" s="362"/>
      <c r="N428" s="350"/>
    </row>
    <row r="429" spans="1:29" s="62" customFormat="1" ht="19.5" customHeight="1">
      <c r="A429" s="36"/>
      <c r="B429" s="37"/>
      <c r="C429" s="336"/>
      <c r="D429" s="38"/>
      <c r="F429" s="38"/>
      <c r="G429" s="37"/>
      <c r="H429" s="38"/>
      <c r="I429" s="336"/>
      <c r="J429" s="38"/>
      <c r="K429" s="410"/>
      <c r="L429" s="322"/>
      <c r="M429" s="363"/>
      <c r="N429" s="351"/>
      <c r="O429" s="40"/>
      <c r="P429" s="40"/>
      <c r="Q429" s="40"/>
      <c r="R429" s="40"/>
      <c r="S429" s="40"/>
      <c r="T429" s="40"/>
      <c r="U429" s="40"/>
      <c r="V429" s="40"/>
      <c r="W429" s="40"/>
      <c r="X429" s="40"/>
      <c r="Y429" s="40"/>
      <c r="Z429" s="39"/>
      <c r="AA429" s="55"/>
      <c r="AB429" s="54"/>
    </row>
    <row r="430" spans="1:29" s="62" customFormat="1" ht="34.5" customHeight="1">
      <c r="A430" s="36"/>
      <c r="B430" s="41" t="s">
        <v>10</v>
      </c>
      <c r="C430" s="337"/>
      <c r="D430" s="42"/>
      <c r="F430" s="43"/>
      <c r="G430" s="272" t="s">
        <v>128</v>
      </c>
      <c r="H430" s="43"/>
      <c r="I430" s="408"/>
      <c r="J430" s="43"/>
      <c r="K430" s="411" t="s">
        <v>11</v>
      </c>
      <c r="L430" s="323"/>
      <c r="M430" s="364"/>
      <c r="N430" s="352"/>
      <c r="O430" s="44"/>
      <c r="P430" s="44"/>
      <c r="Q430" s="45"/>
      <c r="R430" s="45"/>
      <c r="S430" s="45"/>
      <c r="T430" s="45"/>
      <c r="U430" s="45"/>
      <c r="V430" s="45"/>
      <c r="W430" s="45"/>
      <c r="X430" s="45"/>
      <c r="Y430" s="45"/>
      <c r="Z430" s="46"/>
      <c r="AA430" s="55"/>
      <c r="AB430" s="54"/>
      <c r="AC430" s="54"/>
    </row>
    <row r="431" spans="1:29" s="62" customFormat="1" ht="19.5" customHeight="1">
      <c r="A431" s="36"/>
      <c r="B431" s="41" t="str">
        <f>+INGRESOS!A112</f>
        <v xml:space="preserve">NOMBRE: JULIANA LOPEZ RESTREPO </v>
      </c>
      <c r="C431" s="338"/>
      <c r="D431" s="47"/>
      <c r="F431" s="42"/>
      <c r="G431" s="41" t="str">
        <f>+INGRESOS!E112</f>
        <v>NOMBRE: JORGE ENRIQUE RAMÍREZ</v>
      </c>
      <c r="H431" s="47"/>
      <c r="I431" s="338"/>
      <c r="J431" s="47"/>
      <c r="K431" s="412" t="s">
        <v>243</v>
      </c>
      <c r="L431" s="324" t="str">
        <f>+INGRESOS!J112</f>
        <v>Jaime Alonso Velez Mazo</v>
      </c>
      <c r="M431" s="365"/>
      <c r="N431" s="353"/>
      <c r="O431" s="48"/>
      <c r="P431" s="48"/>
      <c r="Q431" s="45"/>
      <c r="R431" s="45"/>
      <c r="S431" s="45"/>
      <c r="T431" s="45"/>
      <c r="U431" s="45"/>
      <c r="V431" s="45"/>
      <c r="W431" s="45"/>
      <c r="X431" s="45"/>
      <c r="Y431" s="45"/>
      <c r="Z431" s="46"/>
      <c r="AA431" s="55"/>
      <c r="AB431" s="54"/>
      <c r="AC431" s="54"/>
    </row>
    <row r="432" spans="1:29" s="62" customFormat="1" ht="19.5" customHeight="1">
      <c r="A432" s="36"/>
      <c r="B432" s="41" t="str">
        <f>+INGRESOS!A113</f>
        <v>CARGO: Directora de Programa</v>
      </c>
      <c r="C432" s="338"/>
      <c r="D432" s="47"/>
      <c r="F432" s="42"/>
      <c r="G432" s="41" t="str">
        <f>+INGRESOS!E113</f>
        <v>CARGO: Decano</v>
      </c>
      <c r="H432" s="47"/>
      <c r="I432" s="338"/>
      <c r="J432" s="47"/>
      <c r="K432" s="411" t="s">
        <v>242</v>
      </c>
      <c r="L432" s="324" t="str">
        <f>+INGRESOS!J113</f>
        <v>Asistente de Presidencia para Presupuesto</v>
      </c>
      <c r="M432" s="365"/>
      <c r="N432" s="353"/>
      <c r="O432" s="48"/>
      <c r="P432" s="48"/>
      <c r="Q432" s="45"/>
      <c r="R432" s="45"/>
      <c r="S432" s="45"/>
      <c r="T432" s="45"/>
      <c r="U432" s="45"/>
      <c r="V432" s="45"/>
      <c r="W432" s="45"/>
      <c r="X432" s="45"/>
      <c r="Y432" s="45"/>
      <c r="Z432" s="46"/>
      <c r="AA432" s="55"/>
      <c r="AB432" s="54"/>
      <c r="AC432" s="54"/>
    </row>
    <row r="433" spans="1:26" ht="19.5" customHeight="1">
      <c r="A433" s="6"/>
      <c r="B433" s="41" t="str">
        <f>+INGRESOS!A114</f>
        <v>FECHA: 13-08-2019</v>
      </c>
      <c r="C433" s="338"/>
      <c r="D433" s="47"/>
      <c r="F433" s="42"/>
      <c r="G433" s="41" t="str">
        <f>+INGRESOS!E114</f>
        <v>FECHA: 13-08-2019</v>
      </c>
      <c r="H433" s="47"/>
      <c r="I433" s="338"/>
      <c r="J433" s="47"/>
      <c r="K433" s="412" t="s">
        <v>232</v>
      </c>
      <c r="L433" s="631">
        <f>+INGRESOS!J114</f>
        <v>43690</v>
      </c>
      <c r="M433" s="631"/>
      <c r="N433" s="631"/>
      <c r="O433" s="48"/>
      <c r="P433" s="48"/>
      <c r="Q433" s="45"/>
      <c r="R433" s="45"/>
      <c r="S433" s="45"/>
      <c r="T433" s="45"/>
      <c r="U433" s="45"/>
      <c r="V433" s="45"/>
      <c r="W433" s="45"/>
      <c r="X433" s="45"/>
      <c r="Y433" s="45"/>
      <c r="Z433" s="46"/>
    </row>
    <row r="434" spans="1:26" ht="15.75" thickBot="1">
      <c r="A434" s="6"/>
      <c r="B434" s="49"/>
      <c r="C434" s="339"/>
      <c r="D434" s="50"/>
      <c r="F434" s="50"/>
      <c r="G434" s="49"/>
      <c r="H434" s="50"/>
      <c r="I434" s="339"/>
      <c r="J434" s="50"/>
      <c r="K434" s="413"/>
      <c r="L434" s="325"/>
      <c r="M434" s="366"/>
      <c r="N434" s="354"/>
      <c r="O434" s="52"/>
      <c r="P434" s="52"/>
      <c r="Q434" s="52"/>
      <c r="R434" s="52"/>
      <c r="S434" s="52"/>
      <c r="T434" s="52"/>
      <c r="U434" s="52"/>
      <c r="V434" s="52"/>
      <c r="W434" s="52"/>
      <c r="X434" s="52"/>
      <c r="Y434" s="52"/>
      <c r="Z434" s="51"/>
    </row>
  </sheetData>
  <mergeCells count="100">
    <mergeCell ref="L433:N433"/>
    <mergeCell ref="F383:F388"/>
    <mergeCell ref="F390:F391"/>
    <mergeCell ref="F361:F363"/>
    <mergeCell ref="F364:F365"/>
    <mergeCell ref="F371:F382"/>
    <mergeCell ref="B427:M427"/>
    <mergeCell ref="F339:F340"/>
    <mergeCell ref="F342:F344"/>
    <mergeCell ref="F345:F346"/>
    <mergeCell ref="F333:F337"/>
    <mergeCell ref="F358:F360"/>
    <mergeCell ref="F294:F295"/>
    <mergeCell ref="F297:F298"/>
    <mergeCell ref="F320:F323"/>
    <mergeCell ref="F330:F332"/>
    <mergeCell ref="F282:F283"/>
    <mergeCell ref="F290:F291"/>
    <mergeCell ref="F292:F293"/>
    <mergeCell ref="F211:F217"/>
    <mergeCell ref="F218:F224"/>
    <mergeCell ref="F225:F231"/>
    <mergeCell ref="F232:F238"/>
    <mergeCell ref="F250:F269"/>
    <mergeCell ref="W12:W13"/>
    <mergeCell ref="F189:F193"/>
    <mergeCell ref="F204:F210"/>
    <mergeCell ref="F194:F195"/>
    <mergeCell ref="F197:F203"/>
    <mergeCell ref="F160:F162"/>
    <mergeCell ref="F187:F188"/>
    <mergeCell ref="F163:F169"/>
    <mergeCell ref="F170:F176"/>
    <mergeCell ref="F177:F186"/>
    <mergeCell ref="F18:F19"/>
    <mergeCell ref="F20:F22"/>
    <mergeCell ref="G16:G17"/>
    <mergeCell ref="F14:F17"/>
    <mergeCell ref="F36:F38"/>
    <mergeCell ref="F39:F40"/>
    <mergeCell ref="O11:Z11"/>
    <mergeCell ref="H12:I12"/>
    <mergeCell ref="J12:K12"/>
    <mergeCell ref="L12:M12"/>
    <mergeCell ref="N12:N13"/>
    <mergeCell ref="O12:O13"/>
    <mergeCell ref="P12:P13"/>
    <mergeCell ref="Q12:Q13"/>
    <mergeCell ref="X12:X13"/>
    <mergeCell ref="Y12:Y13"/>
    <mergeCell ref="Z12:Z13"/>
    <mergeCell ref="R12:R13"/>
    <mergeCell ref="S12:S13"/>
    <mergeCell ref="T12:T13"/>
    <mergeCell ref="U12:U13"/>
    <mergeCell ref="V12:V13"/>
    <mergeCell ref="A1:Z1"/>
    <mergeCell ref="B2:Z2"/>
    <mergeCell ref="B3:Z3"/>
    <mergeCell ref="A4:N4"/>
    <mergeCell ref="A5:N5"/>
    <mergeCell ref="A7:N7"/>
    <mergeCell ref="I9:Z9"/>
    <mergeCell ref="B6:G6"/>
    <mergeCell ref="H6:K6"/>
    <mergeCell ref="L6:M6"/>
    <mergeCell ref="N6:Z6"/>
    <mergeCell ref="C9:G9"/>
    <mergeCell ref="C8:G8"/>
    <mergeCell ref="A10:N10"/>
    <mergeCell ref="H11:N11"/>
    <mergeCell ref="B11:C12"/>
    <mergeCell ref="D11:D13"/>
    <mergeCell ref="E11:E13"/>
    <mergeCell ref="F11:F12"/>
    <mergeCell ref="G11:G12"/>
    <mergeCell ref="F13:G13"/>
    <mergeCell ref="G111:G113"/>
    <mergeCell ref="F41:F44"/>
    <mergeCell ref="F45:F46"/>
    <mergeCell ref="F29:F35"/>
    <mergeCell ref="F84:F85"/>
    <mergeCell ref="F86:F87"/>
    <mergeCell ref="F49:F51"/>
    <mergeCell ref="F99:F100"/>
    <mergeCell ref="F101:F102"/>
    <mergeCell ref="F103:F104"/>
    <mergeCell ref="F105:F106"/>
    <mergeCell ref="D49:D51"/>
    <mergeCell ref="F60:F62"/>
    <mergeCell ref="F69:F70"/>
    <mergeCell ref="F71:F77"/>
    <mergeCell ref="F135:F141"/>
    <mergeCell ref="F142:F153"/>
    <mergeCell ref="F128:F129"/>
    <mergeCell ref="F124:F126"/>
    <mergeCell ref="F107:F108"/>
    <mergeCell ref="F109:F110"/>
    <mergeCell ref="F111:F112"/>
    <mergeCell ref="F120:F123"/>
  </mergeCells>
  <dataValidations count="2">
    <dataValidation type="list" allowBlank="1" showInputMessage="1" showErrorMessage="1" sqref="K14:K159 K281:K426"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I281:I426</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B08FF599-C53F-4A47-AB0A-5EA2F72DEF7A}">
          <x14:formula1>
            <xm:f>'C:\Users\jaime.velez\OneDrive - Universidad Libre\Planes de accion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E1"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283</v>
      </c>
      <c r="B7" s="313" t="s">
        <v>426</v>
      </c>
      <c r="C7" s="313" t="s">
        <v>427</v>
      </c>
      <c r="D7" s="312" t="s">
        <v>283</v>
      </c>
      <c r="F7" s="319" t="s">
        <v>441</v>
      </c>
      <c r="G7" s="319" t="s">
        <v>7</v>
      </c>
      <c r="I7" s="319" t="s">
        <v>7</v>
      </c>
      <c r="J7" s="319" t="s">
        <v>462</v>
      </c>
      <c r="L7" s="319" t="s">
        <v>619</v>
      </c>
      <c r="M7" s="319" t="s">
        <v>620</v>
      </c>
    </row>
    <row r="8" spans="1:13">
      <c r="A8" s="314" t="s">
        <v>284</v>
      </c>
      <c r="B8" s="314" t="s">
        <v>285</v>
      </c>
      <c r="C8" s="314" t="s">
        <v>142</v>
      </c>
      <c r="D8" s="314" t="s">
        <v>284</v>
      </c>
      <c r="F8" s="315" t="s">
        <v>442</v>
      </c>
      <c r="G8" s="316" t="s">
        <v>443</v>
      </c>
      <c r="I8" s="331" t="s">
        <v>464</v>
      </c>
      <c r="J8" s="332" t="s">
        <v>445</v>
      </c>
      <c r="L8" s="333" t="s">
        <v>471</v>
      </c>
      <c r="M8" s="334" t="s">
        <v>164</v>
      </c>
    </row>
    <row r="9" spans="1:13">
      <c r="A9" s="314" t="s">
        <v>284</v>
      </c>
      <c r="B9" s="314" t="s">
        <v>286</v>
      </c>
      <c r="C9" s="314" t="s">
        <v>143</v>
      </c>
      <c r="D9" s="314" t="s">
        <v>284</v>
      </c>
      <c r="F9" s="315" t="s">
        <v>444</v>
      </c>
      <c r="G9" s="316" t="s">
        <v>445</v>
      </c>
      <c r="I9" s="331" t="s">
        <v>465</v>
      </c>
      <c r="J9" s="332" t="s">
        <v>447</v>
      </c>
      <c r="L9" s="333" t="s">
        <v>472</v>
      </c>
      <c r="M9" s="334" t="s">
        <v>165</v>
      </c>
    </row>
    <row r="10" spans="1:13">
      <c r="A10" s="314" t="s">
        <v>284</v>
      </c>
      <c r="B10" s="314" t="s">
        <v>288</v>
      </c>
      <c r="C10" s="314" t="s">
        <v>287</v>
      </c>
      <c r="D10" s="314" t="s">
        <v>284</v>
      </c>
      <c r="F10" s="315" t="s">
        <v>446</v>
      </c>
      <c r="G10" s="316" t="s">
        <v>447</v>
      </c>
      <c r="I10" s="331" t="s">
        <v>466</v>
      </c>
      <c r="J10" s="332" t="s">
        <v>449</v>
      </c>
      <c r="L10" s="333" t="s">
        <v>473</v>
      </c>
      <c r="M10" s="334" t="s">
        <v>204</v>
      </c>
    </row>
    <row r="11" spans="1:13">
      <c r="A11" s="314" t="s">
        <v>284</v>
      </c>
      <c r="B11" s="314" t="s">
        <v>290</v>
      </c>
      <c r="C11" s="314" t="s">
        <v>289</v>
      </c>
      <c r="D11" s="314" t="s">
        <v>284</v>
      </c>
      <c r="F11" s="315" t="s">
        <v>448</v>
      </c>
      <c r="G11" s="316" t="s">
        <v>449</v>
      </c>
      <c r="I11" s="328" t="s">
        <v>463</v>
      </c>
      <c r="J11" s="329"/>
      <c r="L11" s="333" t="s">
        <v>474</v>
      </c>
      <c r="M11" s="334" t="s">
        <v>205</v>
      </c>
    </row>
    <row r="12" spans="1:13">
      <c r="A12" s="314" t="s">
        <v>284</v>
      </c>
      <c r="B12" s="314" t="s">
        <v>292</v>
      </c>
      <c r="C12" s="314" t="s">
        <v>291</v>
      </c>
      <c r="D12" s="314" t="s">
        <v>284</v>
      </c>
      <c r="F12" s="315" t="s">
        <v>450</v>
      </c>
      <c r="G12" s="316" t="s">
        <v>451</v>
      </c>
      <c r="I12" s="331" t="s">
        <v>467</v>
      </c>
      <c r="J12" s="332" t="s">
        <v>451</v>
      </c>
      <c r="L12" s="333" t="s">
        <v>475</v>
      </c>
      <c r="M12" s="334" t="s">
        <v>206</v>
      </c>
    </row>
    <row r="13" spans="1:13">
      <c r="A13" s="314" t="s">
        <v>284</v>
      </c>
      <c r="B13" s="314" t="s">
        <v>294</v>
      </c>
      <c r="C13" s="314" t="s">
        <v>293</v>
      </c>
      <c r="D13" s="314" t="s">
        <v>284</v>
      </c>
      <c r="F13" s="315" t="s">
        <v>452</v>
      </c>
      <c r="G13" s="316" t="s">
        <v>453</v>
      </c>
      <c r="I13" s="331" t="s">
        <v>468</v>
      </c>
      <c r="J13" s="332" t="s">
        <v>453</v>
      </c>
      <c r="L13" s="333" t="s">
        <v>476</v>
      </c>
      <c r="M13" s="334" t="s">
        <v>207</v>
      </c>
    </row>
    <row r="14" spans="1:13">
      <c r="A14" s="314" t="s">
        <v>284</v>
      </c>
      <c r="B14" s="314" t="s">
        <v>296</v>
      </c>
      <c r="C14" s="314" t="s">
        <v>295</v>
      </c>
      <c r="D14" s="314" t="s">
        <v>284</v>
      </c>
      <c r="F14" s="315" t="s">
        <v>454</v>
      </c>
      <c r="G14" s="316" t="s">
        <v>455</v>
      </c>
      <c r="I14" s="331" t="s">
        <v>465</v>
      </c>
      <c r="J14" s="332" t="s">
        <v>447</v>
      </c>
      <c r="L14" s="333" t="s">
        <v>1366</v>
      </c>
      <c r="M14" s="334" t="s">
        <v>1367</v>
      </c>
    </row>
    <row r="15" spans="1:13">
      <c r="A15" s="314" t="s">
        <v>297</v>
      </c>
      <c r="B15" s="314" t="s">
        <v>298</v>
      </c>
      <c r="C15" s="314" t="s">
        <v>144</v>
      </c>
      <c r="D15" s="314" t="s">
        <v>297</v>
      </c>
      <c r="F15" s="315" t="s">
        <v>456</v>
      </c>
      <c r="G15" s="316" t="s">
        <v>457</v>
      </c>
      <c r="L15" s="333" t="s">
        <v>477</v>
      </c>
      <c r="M15" s="334" t="s">
        <v>220</v>
      </c>
    </row>
    <row r="16" spans="1:13">
      <c r="A16" s="314" t="s">
        <v>297</v>
      </c>
      <c r="B16" s="314" t="s">
        <v>299</v>
      </c>
      <c r="C16" s="314" t="s">
        <v>145</v>
      </c>
      <c r="D16" s="314" t="s">
        <v>297</v>
      </c>
      <c r="F16" s="315" t="s">
        <v>458</v>
      </c>
      <c r="G16" s="316" t="s">
        <v>459</v>
      </c>
      <c r="I16" s="331" t="s">
        <v>469</v>
      </c>
      <c r="J16" s="332" t="s">
        <v>455</v>
      </c>
      <c r="L16" s="333" t="s">
        <v>478</v>
      </c>
      <c r="M16" s="334" t="s">
        <v>208</v>
      </c>
    </row>
    <row r="17" spans="1:13" ht="15.75" thickBot="1">
      <c r="A17" s="314" t="s">
        <v>297</v>
      </c>
      <c r="B17" s="314" t="s">
        <v>300</v>
      </c>
      <c r="C17" s="314" t="s">
        <v>146</v>
      </c>
      <c r="D17" s="314" t="s">
        <v>297</v>
      </c>
      <c r="F17" s="317" t="s">
        <v>460</v>
      </c>
      <c r="G17" s="318" t="s">
        <v>461</v>
      </c>
      <c r="I17" s="331" t="s">
        <v>465</v>
      </c>
      <c r="J17" s="332" t="s">
        <v>447</v>
      </c>
      <c r="L17" s="333" t="s">
        <v>480</v>
      </c>
      <c r="M17" s="334" t="s">
        <v>479</v>
      </c>
    </row>
    <row r="18" spans="1:13">
      <c r="A18" s="314" t="s">
        <v>297</v>
      </c>
      <c r="B18" s="314" t="s">
        <v>301</v>
      </c>
      <c r="C18" s="314" t="s">
        <v>147</v>
      </c>
      <c r="D18" s="314" t="s">
        <v>297</v>
      </c>
      <c r="L18" s="333" t="s">
        <v>481</v>
      </c>
      <c r="M18" s="334" t="s">
        <v>209</v>
      </c>
    </row>
    <row r="19" spans="1:13">
      <c r="A19" s="314" t="s">
        <v>297</v>
      </c>
      <c r="B19" s="314" t="s">
        <v>302</v>
      </c>
      <c r="C19" s="314" t="s">
        <v>203</v>
      </c>
      <c r="D19" s="314" t="s">
        <v>297</v>
      </c>
      <c r="I19" s="331" t="s">
        <v>470</v>
      </c>
      <c r="J19" s="332" t="s">
        <v>451</v>
      </c>
      <c r="L19" s="333" t="s">
        <v>482</v>
      </c>
      <c r="M19" s="334" t="s">
        <v>210</v>
      </c>
    </row>
    <row r="20" spans="1:13">
      <c r="A20" s="314" t="s">
        <v>297</v>
      </c>
      <c r="B20" s="314" t="s">
        <v>303</v>
      </c>
      <c r="C20" s="314" t="s">
        <v>148</v>
      </c>
      <c r="D20" s="314" t="s">
        <v>297</v>
      </c>
      <c r="I20" s="328" t="s">
        <v>463</v>
      </c>
      <c r="J20" s="329"/>
      <c r="L20" s="333" t="s">
        <v>483</v>
      </c>
      <c r="M20" s="334" t="s">
        <v>211</v>
      </c>
    </row>
    <row r="21" spans="1:13">
      <c r="A21" s="314" t="s">
        <v>297</v>
      </c>
      <c r="B21" s="314" t="s">
        <v>304</v>
      </c>
      <c r="C21" s="314" t="s">
        <v>149</v>
      </c>
      <c r="D21" s="314" t="s">
        <v>297</v>
      </c>
      <c r="I21" s="330" t="s">
        <v>463</v>
      </c>
      <c r="J21" s="330"/>
      <c r="L21" s="333" t="s">
        <v>485</v>
      </c>
      <c r="M21" s="334" t="s">
        <v>484</v>
      </c>
    </row>
    <row r="22" spans="1:13">
      <c r="A22" s="314" t="s">
        <v>297</v>
      </c>
      <c r="B22" s="314" t="s">
        <v>306</v>
      </c>
      <c r="C22" s="314" t="s">
        <v>305</v>
      </c>
      <c r="D22" s="314" t="s">
        <v>297</v>
      </c>
      <c r="I22" s="328" t="s">
        <v>463</v>
      </c>
      <c r="J22" s="329"/>
      <c r="L22" s="333" t="s">
        <v>487</v>
      </c>
      <c r="M22" s="334" t="s">
        <v>486</v>
      </c>
    </row>
    <row r="23" spans="1:13">
      <c r="A23" s="314" t="s">
        <v>297</v>
      </c>
      <c r="B23" s="314" t="s">
        <v>308</v>
      </c>
      <c r="C23" s="314" t="s">
        <v>307</v>
      </c>
      <c r="D23" s="314" t="s">
        <v>297</v>
      </c>
      <c r="I23" s="328" t="s">
        <v>463</v>
      </c>
      <c r="J23" s="329"/>
      <c r="L23" s="333" t="s">
        <v>488</v>
      </c>
      <c r="M23" s="334" t="s">
        <v>212</v>
      </c>
    </row>
    <row r="24" spans="1:13">
      <c r="A24" s="314" t="s">
        <v>297</v>
      </c>
      <c r="B24" s="314" t="s">
        <v>310</v>
      </c>
      <c r="C24" s="314" t="s">
        <v>309</v>
      </c>
      <c r="D24" s="314" t="s">
        <v>297</v>
      </c>
      <c r="I24" s="330" t="s">
        <v>463</v>
      </c>
      <c r="J24" s="330"/>
      <c r="L24" s="333" t="s">
        <v>490</v>
      </c>
      <c r="M24" s="334" t="s">
        <v>489</v>
      </c>
    </row>
    <row r="25" spans="1:13">
      <c r="A25" s="314" t="s">
        <v>297</v>
      </c>
      <c r="B25" s="314" t="s">
        <v>312</v>
      </c>
      <c r="C25" s="314" t="s">
        <v>311</v>
      </c>
      <c r="D25" s="314" t="s">
        <v>297</v>
      </c>
      <c r="L25" s="333" t="s">
        <v>491</v>
      </c>
      <c r="M25" s="334" t="s">
        <v>213</v>
      </c>
    </row>
    <row r="26" spans="1:13">
      <c r="A26" s="314" t="s">
        <v>297</v>
      </c>
      <c r="B26" s="314" t="s">
        <v>314</v>
      </c>
      <c r="C26" s="314" t="s">
        <v>313</v>
      </c>
      <c r="D26" s="314" t="s">
        <v>297</v>
      </c>
      <c r="L26" s="333" t="s">
        <v>492</v>
      </c>
      <c r="M26" s="334" t="s">
        <v>214</v>
      </c>
    </row>
    <row r="27" spans="1:13">
      <c r="A27" s="314" t="s">
        <v>297</v>
      </c>
      <c r="B27" s="314" t="s">
        <v>316</v>
      </c>
      <c r="C27" s="314" t="s">
        <v>315</v>
      </c>
      <c r="D27" s="314" t="s">
        <v>297</v>
      </c>
      <c r="L27" s="333" t="s">
        <v>493</v>
      </c>
      <c r="M27" s="334" t="s">
        <v>215</v>
      </c>
    </row>
    <row r="28" spans="1:13">
      <c r="A28" s="314" t="s">
        <v>297</v>
      </c>
      <c r="B28" s="314" t="s">
        <v>318</v>
      </c>
      <c r="C28" s="314" t="s">
        <v>317</v>
      </c>
      <c r="D28" s="314" t="s">
        <v>297</v>
      </c>
      <c r="L28" s="333" t="s">
        <v>495</v>
      </c>
      <c r="M28" s="334" t="s">
        <v>494</v>
      </c>
    </row>
    <row r="29" spans="1:13">
      <c r="A29" s="314" t="s">
        <v>297</v>
      </c>
      <c r="B29" s="314" t="s">
        <v>320</v>
      </c>
      <c r="C29" s="314" t="s">
        <v>319</v>
      </c>
      <c r="D29" s="314" t="s">
        <v>297</v>
      </c>
      <c r="L29" s="333" t="s">
        <v>497</v>
      </c>
      <c r="M29" s="334" t="s">
        <v>496</v>
      </c>
    </row>
    <row r="30" spans="1:13">
      <c r="A30" s="314" t="s">
        <v>297</v>
      </c>
      <c r="B30" s="314" t="s">
        <v>322</v>
      </c>
      <c r="C30" s="314" t="s">
        <v>321</v>
      </c>
      <c r="D30" s="314" t="s">
        <v>297</v>
      </c>
      <c r="L30" s="333" t="s">
        <v>499</v>
      </c>
      <c r="M30" s="334" t="s">
        <v>498</v>
      </c>
    </row>
    <row r="31" spans="1:13">
      <c r="A31" s="314" t="s">
        <v>297</v>
      </c>
      <c r="B31" s="314" t="s">
        <v>324</v>
      </c>
      <c r="C31" s="314" t="s">
        <v>323</v>
      </c>
      <c r="D31" s="314" t="s">
        <v>297</v>
      </c>
      <c r="L31" s="333" t="s">
        <v>501</v>
      </c>
      <c r="M31" s="334" t="s">
        <v>500</v>
      </c>
    </row>
    <row r="32" spans="1:13">
      <c r="A32" s="314" t="s">
        <v>297</v>
      </c>
      <c r="B32" s="314" t="s">
        <v>326</v>
      </c>
      <c r="C32" s="314" t="s">
        <v>325</v>
      </c>
      <c r="D32" s="314" t="s">
        <v>297</v>
      </c>
      <c r="L32" s="333" t="s">
        <v>503</v>
      </c>
      <c r="M32" s="334" t="s">
        <v>502</v>
      </c>
    </row>
    <row r="33" spans="1:13">
      <c r="A33" s="314" t="s">
        <v>297</v>
      </c>
      <c r="B33" s="314" t="s">
        <v>328</v>
      </c>
      <c r="C33" s="314" t="s">
        <v>327</v>
      </c>
      <c r="D33" s="314" t="s">
        <v>297</v>
      </c>
      <c r="L33" s="333" t="s">
        <v>505</v>
      </c>
      <c r="M33" s="334" t="s">
        <v>504</v>
      </c>
    </row>
    <row r="34" spans="1:13">
      <c r="A34" s="314" t="s">
        <v>329</v>
      </c>
      <c r="B34" s="314" t="s">
        <v>330</v>
      </c>
      <c r="C34" s="314" t="s">
        <v>150</v>
      </c>
      <c r="D34" s="314" t="s">
        <v>329</v>
      </c>
      <c r="L34" s="333" t="s">
        <v>507</v>
      </c>
      <c r="M34" s="334" t="s">
        <v>506</v>
      </c>
    </row>
    <row r="35" spans="1:13">
      <c r="A35" s="314" t="s">
        <v>329</v>
      </c>
      <c r="B35" s="314" t="s">
        <v>331</v>
      </c>
      <c r="C35" s="314" t="s">
        <v>151</v>
      </c>
      <c r="D35" s="314" t="s">
        <v>329</v>
      </c>
      <c r="L35" s="333" t="s">
        <v>508</v>
      </c>
      <c r="M35" s="334" t="s">
        <v>216</v>
      </c>
    </row>
    <row r="36" spans="1:13">
      <c r="A36" s="314" t="s">
        <v>329</v>
      </c>
      <c r="B36" s="314" t="s">
        <v>332</v>
      </c>
      <c r="C36" s="314" t="s">
        <v>152</v>
      </c>
      <c r="D36" s="314" t="s">
        <v>329</v>
      </c>
      <c r="L36" s="333" t="s">
        <v>509</v>
      </c>
      <c r="M36" s="334" t="s">
        <v>217</v>
      </c>
    </row>
    <row r="37" spans="1:13">
      <c r="A37" s="314" t="s">
        <v>329</v>
      </c>
      <c r="B37" s="314" t="s">
        <v>333</v>
      </c>
      <c r="C37" s="314" t="s">
        <v>153</v>
      </c>
      <c r="D37" s="314" t="s">
        <v>329</v>
      </c>
      <c r="L37" s="333" t="s">
        <v>510</v>
      </c>
      <c r="M37" s="334" t="s">
        <v>235</v>
      </c>
    </row>
    <row r="38" spans="1:13">
      <c r="A38" s="314" t="s">
        <v>329</v>
      </c>
      <c r="B38" s="314" t="s">
        <v>335</v>
      </c>
      <c r="C38" s="314" t="s">
        <v>334</v>
      </c>
      <c r="D38" s="314" t="s">
        <v>329</v>
      </c>
      <c r="L38" s="333" t="s">
        <v>511</v>
      </c>
      <c r="M38" s="334" t="s">
        <v>234</v>
      </c>
    </row>
    <row r="39" spans="1:13">
      <c r="A39" s="314" t="s">
        <v>329</v>
      </c>
      <c r="B39" s="314" t="s">
        <v>337</v>
      </c>
      <c r="C39" s="314" t="s">
        <v>336</v>
      </c>
      <c r="D39" s="314" t="s">
        <v>329</v>
      </c>
      <c r="L39" s="333" t="s">
        <v>512</v>
      </c>
      <c r="M39" s="334" t="s">
        <v>236</v>
      </c>
    </row>
    <row r="40" spans="1:13">
      <c r="A40" s="314" t="s">
        <v>329</v>
      </c>
      <c r="B40" s="314" t="s">
        <v>339</v>
      </c>
      <c r="C40" s="314" t="s">
        <v>338</v>
      </c>
      <c r="D40" s="314" t="s">
        <v>329</v>
      </c>
      <c r="L40" s="333" t="s">
        <v>513</v>
      </c>
      <c r="M40" s="334" t="s">
        <v>237</v>
      </c>
    </row>
    <row r="41" spans="1:13">
      <c r="A41" s="314" t="s">
        <v>329</v>
      </c>
      <c r="B41" s="314" t="s">
        <v>341</v>
      </c>
      <c r="C41" s="314" t="s">
        <v>340</v>
      </c>
      <c r="D41" s="314" t="s">
        <v>329</v>
      </c>
      <c r="L41" s="333" t="s">
        <v>514</v>
      </c>
      <c r="M41" s="334" t="s">
        <v>238</v>
      </c>
    </row>
    <row r="42" spans="1:13">
      <c r="A42" s="314" t="s">
        <v>329</v>
      </c>
      <c r="B42" s="314" t="s">
        <v>343</v>
      </c>
      <c r="C42" s="314" t="s">
        <v>342</v>
      </c>
      <c r="D42" s="314" t="s">
        <v>329</v>
      </c>
      <c r="L42" s="333" t="s">
        <v>258</v>
      </c>
      <c r="M42" s="334" t="s">
        <v>257</v>
      </c>
    </row>
    <row r="43" spans="1:13">
      <c r="A43" s="314" t="s">
        <v>329</v>
      </c>
      <c r="B43" s="314" t="s">
        <v>345</v>
      </c>
      <c r="C43" s="314" t="s">
        <v>344</v>
      </c>
      <c r="D43" s="314" t="s">
        <v>329</v>
      </c>
      <c r="L43" s="333" t="s">
        <v>260</v>
      </c>
      <c r="M43" s="334" t="s">
        <v>259</v>
      </c>
    </row>
    <row r="44" spans="1:13">
      <c r="A44" s="314" t="s">
        <v>329</v>
      </c>
      <c r="B44" s="314" t="s">
        <v>349</v>
      </c>
      <c r="C44" s="314" t="s">
        <v>348</v>
      </c>
      <c r="D44" s="314" t="s">
        <v>329</v>
      </c>
      <c r="L44" s="333" t="s">
        <v>262</v>
      </c>
      <c r="M44" s="334" t="s">
        <v>261</v>
      </c>
    </row>
    <row r="45" spans="1:13">
      <c r="A45" s="314" t="s">
        <v>350</v>
      </c>
      <c r="B45" s="314" t="s">
        <v>351</v>
      </c>
      <c r="C45" s="314" t="s">
        <v>154</v>
      </c>
      <c r="D45" s="314" t="s">
        <v>350</v>
      </c>
      <c r="L45" s="333" t="s">
        <v>263</v>
      </c>
      <c r="M45" s="334" t="s">
        <v>515</v>
      </c>
    </row>
    <row r="46" spans="1:13">
      <c r="A46" s="314" t="s">
        <v>350</v>
      </c>
      <c r="B46" s="314" t="s">
        <v>352</v>
      </c>
      <c r="C46" s="314" t="s">
        <v>155</v>
      </c>
      <c r="D46" s="314" t="s">
        <v>350</v>
      </c>
      <c r="L46" s="333" t="s">
        <v>516</v>
      </c>
      <c r="M46" s="334" t="s">
        <v>239</v>
      </c>
    </row>
    <row r="47" spans="1:13">
      <c r="A47" s="314" t="s">
        <v>350</v>
      </c>
      <c r="B47" s="314" t="s">
        <v>353</v>
      </c>
      <c r="C47" s="314" t="s">
        <v>156</v>
      </c>
      <c r="D47" s="314" t="s">
        <v>350</v>
      </c>
      <c r="L47" s="333" t="s">
        <v>517</v>
      </c>
      <c r="M47" s="334" t="s">
        <v>240</v>
      </c>
    </row>
    <row r="48" spans="1:13">
      <c r="A48" s="314" t="s">
        <v>350</v>
      </c>
      <c r="B48" s="314" t="s">
        <v>354</v>
      </c>
      <c r="C48" s="314" t="s">
        <v>157</v>
      </c>
      <c r="D48" s="314" t="s">
        <v>350</v>
      </c>
      <c r="L48" s="333" t="s">
        <v>518</v>
      </c>
      <c r="M48" s="334" t="s">
        <v>218</v>
      </c>
    </row>
    <row r="49" spans="1:13">
      <c r="A49" s="314" t="s">
        <v>350</v>
      </c>
      <c r="B49" s="314" t="s">
        <v>355</v>
      </c>
      <c r="C49" s="314" t="s">
        <v>158</v>
      </c>
      <c r="D49" s="314" t="s">
        <v>350</v>
      </c>
      <c r="L49" s="333" t="s">
        <v>519</v>
      </c>
      <c r="M49" s="334" t="s">
        <v>241</v>
      </c>
    </row>
    <row r="50" spans="1:13">
      <c r="A50" s="314" t="s">
        <v>350</v>
      </c>
      <c r="B50" s="314" t="s">
        <v>346</v>
      </c>
      <c r="C50" s="314" t="s">
        <v>159</v>
      </c>
      <c r="D50" s="314" t="s">
        <v>350</v>
      </c>
      <c r="L50" s="333" t="s">
        <v>520</v>
      </c>
      <c r="M50" s="334" t="s">
        <v>219</v>
      </c>
    </row>
    <row r="51" spans="1:13">
      <c r="A51" s="314" t="s">
        <v>350</v>
      </c>
      <c r="B51" s="314" t="s">
        <v>357</v>
      </c>
      <c r="C51" s="314" t="s">
        <v>356</v>
      </c>
      <c r="D51" s="314" t="s">
        <v>350</v>
      </c>
      <c r="L51" s="333" t="s">
        <v>522</v>
      </c>
      <c r="M51" s="334" t="s">
        <v>521</v>
      </c>
    </row>
    <row r="52" spans="1:13">
      <c r="A52" s="314" t="s">
        <v>350</v>
      </c>
      <c r="B52" s="314" t="s">
        <v>359</v>
      </c>
      <c r="C52" s="314" t="s">
        <v>358</v>
      </c>
      <c r="D52" s="314" t="s">
        <v>350</v>
      </c>
      <c r="L52" s="333" t="s">
        <v>524</v>
      </c>
      <c r="M52" s="334" t="s">
        <v>523</v>
      </c>
    </row>
    <row r="53" spans="1:13">
      <c r="A53" s="314" t="s">
        <v>350</v>
      </c>
      <c r="B53" s="314" t="s">
        <v>347</v>
      </c>
      <c r="C53" s="314" t="s">
        <v>360</v>
      </c>
      <c r="D53" s="314" t="s">
        <v>350</v>
      </c>
      <c r="L53" s="333" t="s">
        <v>526</v>
      </c>
      <c r="M53" s="334" t="s">
        <v>525</v>
      </c>
    </row>
    <row r="54" spans="1:13">
      <c r="A54" s="314" t="s">
        <v>361</v>
      </c>
      <c r="B54" s="314" t="s">
        <v>362</v>
      </c>
      <c r="C54" s="314" t="s">
        <v>162</v>
      </c>
      <c r="D54" s="314" t="s">
        <v>361</v>
      </c>
      <c r="L54" s="333" t="s">
        <v>528</v>
      </c>
      <c r="M54" s="334" t="s">
        <v>527</v>
      </c>
    </row>
    <row r="55" spans="1:13">
      <c r="A55" s="314" t="s">
        <v>363</v>
      </c>
      <c r="B55" s="314" t="s">
        <v>364</v>
      </c>
      <c r="C55" s="314" t="s">
        <v>163</v>
      </c>
      <c r="D55" s="314" t="s">
        <v>363</v>
      </c>
      <c r="L55" s="333" t="s">
        <v>530</v>
      </c>
      <c r="M55" s="334" t="s">
        <v>529</v>
      </c>
    </row>
    <row r="56" spans="1:13">
      <c r="A56" s="314" t="s">
        <v>365</v>
      </c>
      <c r="B56" s="314" t="s">
        <v>366</v>
      </c>
      <c r="C56" s="314" t="s">
        <v>166</v>
      </c>
      <c r="D56" s="314" t="s">
        <v>365</v>
      </c>
      <c r="L56" s="333" t="s">
        <v>532</v>
      </c>
      <c r="M56" s="334" t="s">
        <v>531</v>
      </c>
    </row>
    <row r="57" spans="1:13">
      <c r="A57" s="314" t="s">
        <v>367</v>
      </c>
      <c r="B57" s="314" t="s">
        <v>369</v>
      </c>
      <c r="C57" s="314" t="s">
        <v>368</v>
      </c>
      <c r="D57" s="314" t="s">
        <v>367</v>
      </c>
      <c r="L57" s="333" t="s">
        <v>534</v>
      </c>
      <c r="M57" s="334" t="s">
        <v>533</v>
      </c>
    </row>
    <row r="58" spans="1:13">
      <c r="A58" s="314" t="s">
        <v>367</v>
      </c>
      <c r="B58" s="314" t="s">
        <v>371</v>
      </c>
      <c r="C58" s="314" t="s">
        <v>370</v>
      </c>
      <c r="D58" s="314" t="s">
        <v>367</v>
      </c>
      <c r="L58" s="333" t="s">
        <v>536</v>
      </c>
      <c r="M58" s="334" t="s">
        <v>535</v>
      </c>
    </row>
    <row r="59" spans="1:13">
      <c r="A59" s="314" t="s">
        <v>367</v>
      </c>
      <c r="B59" s="314" t="s">
        <v>373</v>
      </c>
      <c r="C59" s="314" t="s">
        <v>372</v>
      </c>
      <c r="D59" s="314" t="s">
        <v>367</v>
      </c>
      <c r="L59" s="333" t="s">
        <v>538</v>
      </c>
      <c r="M59" s="334" t="s">
        <v>537</v>
      </c>
    </row>
    <row r="60" spans="1:13">
      <c r="A60" s="314" t="s">
        <v>367</v>
      </c>
      <c r="B60" s="314" t="s">
        <v>375</v>
      </c>
      <c r="C60" s="314" t="s">
        <v>374</v>
      </c>
      <c r="D60" s="314" t="s">
        <v>367</v>
      </c>
      <c r="L60" s="333" t="s">
        <v>540</v>
      </c>
      <c r="M60" s="334" t="s">
        <v>539</v>
      </c>
    </row>
    <row r="61" spans="1:13">
      <c r="A61" s="314" t="s">
        <v>367</v>
      </c>
      <c r="B61" s="314" t="s">
        <v>377</v>
      </c>
      <c r="C61" s="314" t="s">
        <v>376</v>
      </c>
      <c r="D61" s="314" t="s">
        <v>367</v>
      </c>
      <c r="L61" s="333" t="s">
        <v>542</v>
      </c>
      <c r="M61" s="334" t="s">
        <v>541</v>
      </c>
    </row>
    <row r="62" spans="1:13">
      <c r="A62" s="314" t="s">
        <v>367</v>
      </c>
      <c r="B62" s="314" t="s">
        <v>379</v>
      </c>
      <c r="C62" s="314" t="s">
        <v>378</v>
      </c>
      <c r="D62" s="314" t="s">
        <v>367</v>
      </c>
      <c r="L62" s="333" t="s">
        <v>544</v>
      </c>
      <c r="M62" s="334" t="s">
        <v>543</v>
      </c>
    </row>
    <row r="63" spans="1:13">
      <c r="A63" s="314" t="s">
        <v>380</v>
      </c>
      <c r="B63" s="314" t="s">
        <v>381</v>
      </c>
      <c r="C63" s="314" t="s">
        <v>167</v>
      </c>
      <c r="D63" s="314" t="s">
        <v>380</v>
      </c>
      <c r="L63" s="333" t="s">
        <v>546</v>
      </c>
      <c r="M63" s="334" t="s">
        <v>545</v>
      </c>
    </row>
    <row r="64" spans="1:13">
      <c r="A64" s="314" t="s">
        <v>380</v>
      </c>
      <c r="B64" s="314" t="s">
        <v>382</v>
      </c>
      <c r="C64" s="314" t="s">
        <v>168</v>
      </c>
      <c r="D64" s="314" t="s">
        <v>380</v>
      </c>
      <c r="L64" s="333" t="s">
        <v>548</v>
      </c>
      <c r="M64" s="334" t="s">
        <v>547</v>
      </c>
    </row>
    <row r="65" spans="1:13">
      <c r="A65" s="314" t="s">
        <v>380</v>
      </c>
      <c r="B65" s="314" t="s">
        <v>383</v>
      </c>
      <c r="C65" s="314" t="s">
        <v>169</v>
      </c>
      <c r="D65" s="314" t="s">
        <v>380</v>
      </c>
      <c r="L65" s="333" t="s">
        <v>550</v>
      </c>
      <c r="M65" s="334" t="s">
        <v>549</v>
      </c>
    </row>
    <row r="66" spans="1:13">
      <c r="A66" s="314" t="s">
        <v>380</v>
      </c>
      <c r="B66" s="314" t="s">
        <v>384</v>
      </c>
      <c r="C66" s="314" t="s">
        <v>170</v>
      </c>
      <c r="D66" s="314" t="s">
        <v>380</v>
      </c>
      <c r="L66" s="333" t="s">
        <v>552</v>
      </c>
      <c r="M66" s="334" t="s">
        <v>551</v>
      </c>
    </row>
    <row r="67" spans="1:13">
      <c r="A67" s="314" t="s">
        <v>380</v>
      </c>
      <c r="B67" s="314" t="s">
        <v>385</v>
      </c>
      <c r="C67" s="314" t="s">
        <v>171</v>
      </c>
      <c r="D67" s="314" t="s">
        <v>380</v>
      </c>
      <c r="L67" s="333" t="s">
        <v>554</v>
      </c>
      <c r="M67" s="334" t="s">
        <v>553</v>
      </c>
    </row>
    <row r="68" spans="1:13">
      <c r="A68" s="314" t="s">
        <v>380</v>
      </c>
      <c r="B68" s="314" t="s">
        <v>386</v>
      </c>
      <c r="C68" s="314" t="s">
        <v>172</v>
      </c>
      <c r="D68" s="314" t="s">
        <v>380</v>
      </c>
      <c r="L68" s="333" t="s">
        <v>556</v>
      </c>
      <c r="M68" s="334" t="s">
        <v>555</v>
      </c>
    </row>
    <row r="69" spans="1:13">
      <c r="A69" s="314" t="s">
        <v>387</v>
      </c>
      <c r="B69" s="314" t="s">
        <v>388</v>
      </c>
      <c r="C69" s="314" t="s">
        <v>173</v>
      </c>
      <c r="D69" s="314" t="s">
        <v>387</v>
      </c>
      <c r="L69" s="333" t="s">
        <v>558</v>
      </c>
      <c r="M69" s="334" t="s">
        <v>557</v>
      </c>
    </row>
    <row r="70" spans="1:13">
      <c r="A70" s="314" t="s">
        <v>387</v>
      </c>
      <c r="B70" s="314" t="s">
        <v>389</v>
      </c>
      <c r="C70" s="314" t="s">
        <v>174</v>
      </c>
      <c r="D70" s="314" t="s">
        <v>387</v>
      </c>
      <c r="L70" s="333" t="s">
        <v>560</v>
      </c>
      <c r="M70" s="334" t="s">
        <v>559</v>
      </c>
    </row>
    <row r="71" spans="1:13">
      <c r="A71" s="314" t="s">
        <v>387</v>
      </c>
      <c r="B71" s="314" t="s">
        <v>390</v>
      </c>
      <c r="C71" s="314" t="s">
        <v>175</v>
      </c>
      <c r="D71" s="314" t="s">
        <v>387</v>
      </c>
      <c r="L71" s="333" t="s">
        <v>562</v>
      </c>
      <c r="M71" s="334" t="s">
        <v>561</v>
      </c>
    </row>
    <row r="72" spans="1:13">
      <c r="A72" s="314" t="s">
        <v>387</v>
      </c>
      <c r="B72" s="314" t="s">
        <v>391</v>
      </c>
      <c r="C72" s="314" t="s">
        <v>176</v>
      </c>
      <c r="D72" s="314" t="s">
        <v>387</v>
      </c>
      <c r="L72" s="333" t="s">
        <v>564</v>
      </c>
      <c r="M72" s="334" t="s">
        <v>563</v>
      </c>
    </row>
    <row r="73" spans="1:13">
      <c r="A73" s="314" t="s">
        <v>387</v>
      </c>
      <c r="B73" s="314" t="s">
        <v>392</v>
      </c>
      <c r="C73" s="314" t="s">
        <v>177</v>
      </c>
      <c r="D73" s="314" t="s">
        <v>387</v>
      </c>
      <c r="L73" s="333" t="s">
        <v>566</v>
      </c>
      <c r="M73" s="334" t="s">
        <v>565</v>
      </c>
    </row>
    <row r="74" spans="1:13">
      <c r="A74" s="314" t="s">
        <v>393</v>
      </c>
      <c r="B74" s="314" t="s">
        <v>394</v>
      </c>
      <c r="C74" s="314" t="s">
        <v>178</v>
      </c>
      <c r="D74" s="314" t="s">
        <v>393</v>
      </c>
      <c r="L74" s="333" t="s">
        <v>568</v>
      </c>
      <c r="M74" s="334" t="s">
        <v>567</v>
      </c>
    </row>
    <row r="75" spans="1:13">
      <c r="A75" s="314" t="s">
        <v>393</v>
      </c>
      <c r="B75" s="314" t="s">
        <v>395</v>
      </c>
      <c r="C75" s="314" t="s">
        <v>179</v>
      </c>
      <c r="D75" s="314" t="s">
        <v>393</v>
      </c>
      <c r="L75" s="333" t="s">
        <v>570</v>
      </c>
      <c r="M75" s="334" t="s">
        <v>569</v>
      </c>
    </row>
    <row r="76" spans="1:13">
      <c r="A76" s="314" t="s">
        <v>393</v>
      </c>
      <c r="B76" s="314" t="s">
        <v>396</v>
      </c>
      <c r="C76" s="314" t="s">
        <v>180</v>
      </c>
      <c r="D76" s="314" t="s">
        <v>393</v>
      </c>
      <c r="L76" s="333" t="s">
        <v>572</v>
      </c>
      <c r="M76" s="334" t="s">
        <v>571</v>
      </c>
    </row>
    <row r="77" spans="1:13">
      <c r="A77" s="314" t="s">
        <v>393</v>
      </c>
      <c r="B77" s="314" t="s">
        <v>397</v>
      </c>
      <c r="C77" s="314" t="s">
        <v>181</v>
      </c>
      <c r="D77" s="314" t="s">
        <v>393</v>
      </c>
      <c r="L77" s="333" t="s">
        <v>574</v>
      </c>
      <c r="M77" s="334" t="s">
        <v>573</v>
      </c>
    </row>
    <row r="78" spans="1:13">
      <c r="A78" s="314" t="s">
        <v>393</v>
      </c>
      <c r="B78" s="314" t="s">
        <v>398</v>
      </c>
      <c r="C78" s="314" t="s">
        <v>182</v>
      </c>
      <c r="D78" s="314" t="s">
        <v>393</v>
      </c>
      <c r="L78" s="333" t="s">
        <v>576</v>
      </c>
      <c r="M78" s="334" t="s">
        <v>575</v>
      </c>
    </row>
    <row r="79" spans="1:13">
      <c r="A79" s="314" t="s">
        <v>393</v>
      </c>
      <c r="B79" s="314" t="s">
        <v>399</v>
      </c>
      <c r="C79" s="314" t="s">
        <v>183</v>
      </c>
      <c r="D79" s="314" t="s">
        <v>393</v>
      </c>
      <c r="L79" s="333" t="s">
        <v>578</v>
      </c>
      <c r="M79" s="334" t="s">
        <v>577</v>
      </c>
    </row>
    <row r="80" spans="1:13">
      <c r="A80" s="314" t="s">
        <v>393</v>
      </c>
      <c r="B80" s="314" t="s">
        <v>400</v>
      </c>
      <c r="C80" s="314" t="s">
        <v>184</v>
      </c>
      <c r="D80" s="314" t="s">
        <v>393</v>
      </c>
      <c r="L80" s="333" t="s">
        <v>580</v>
      </c>
      <c r="M80" s="334" t="s">
        <v>579</v>
      </c>
    </row>
    <row r="81" spans="1:13">
      <c r="A81" s="314" t="s">
        <v>393</v>
      </c>
      <c r="B81" s="314" t="s">
        <v>401</v>
      </c>
      <c r="C81" s="314" t="s">
        <v>185</v>
      </c>
      <c r="D81" s="314" t="s">
        <v>393</v>
      </c>
      <c r="L81" s="333" t="s">
        <v>582</v>
      </c>
      <c r="M81" s="334" t="s">
        <v>581</v>
      </c>
    </row>
    <row r="82" spans="1:13">
      <c r="A82" s="314" t="s">
        <v>393</v>
      </c>
      <c r="B82" s="314" t="s">
        <v>402</v>
      </c>
      <c r="C82" s="314" t="s">
        <v>186</v>
      </c>
      <c r="D82" s="314" t="s">
        <v>393</v>
      </c>
      <c r="L82" s="333" t="s">
        <v>584</v>
      </c>
      <c r="M82" s="334" t="s">
        <v>583</v>
      </c>
    </row>
    <row r="83" spans="1:13">
      <c r="A83" s="314" t="s">
        <v>393</v>
      </c>
      <c r="B83" s="314" t="s">
        <v>403</v>
      </c>
      <c r="C83" s="314" t="s">
        <v>187</v>
      </c>
      <c r="D83" s="314" t="s">
        <v>393</v>
      </c>
      <c r="L83" s="333" t="s">
        <v>586</v>
      </c>
      <c r="M83" s="334" t="s">
        <v>585</v>
      </c>
    </row>
    <row r="84" spans="1:13">
      <c r="A84" s="314" t="s">
        <v>393</v>
      </c>
      <c r="B84" s="314" t="s">
        <v>404</v>
      </c>
      <c r="C84" s="314" t="s">
        <v>188</v>
      </c>
      <c r="D84" s="314" t="s">
        <v>393</v>
      </c>
      <c r="L84" s="333" t="s">
        <v>588</v>
      </c>
      <c r="M84" s="334" t="s">
        <v>587</v>
      </c>
    </row>
    <row r="85" spans="1:13">
      <c r="A85" s="314" t="s">
        <v>393</v>
      </c>
      <c r="B85" s="314" t="s">
        <v>405</v>
      </c>
      <c r="C85" s="314" t="s">
        <v>189</v>
      </c>
      <c r="D85" s="314" t="s">
        <v>393</v>
      </c>
      <c r="L85" s="333" t="s">
        <v>590</v>
      </c>
      <c r="M85" s="334" t="s">
        <v>589</v>
      </c>
    </row>
    <row r="86" spans="1:13">
      <c r="A86" s="314" t="s">
        <v>406</v>
      </c>
      <c r="B86" s="314" t="s">
        <v>407</v>
      </c>
      <c r="C86" s="314" t="s">
        <v>190</v>
      </c>
      <c r="D86" s="314" t="s">
        <v>406</v>
      </c>
      <c r="L86" s="333" t="s">
        <v>592</v>
      </c>
      <c r="M86" s="334" t="s">
        <v>591</v>
      </c>
    </row>
    <row r="87" spans="1:13">
      <c r="A87" s="314" t="s">
        <v>408</v>
      </c>
      <c r="B87" s="314" t="s">
        <v>409</v>
      </c>
      <c r="C87" s="314" t="s">
        <v>191</v>
      </c>
      <c r="D87" s="314" t="s">
        <v>408</v>
      </c>
      <c r="L87" s="333" t="s">
        <v>594</v>
      </c>
      <c r="M87" s="334" t="s">
        <v>593</v>
      </c>
    </row>
    <row r="88" spans="1:13">
      <c r="A88" s="314" t="s">
        <v>408</v>
      </c>
      <c r="B88" s="314" t="s">
        <v>410</v>
      </c>
      <c r="C88" s="314" t="s">
        <v>192</v>
      </c>
      <c r="D88" s="314" t="s">
        <v>408</v>
      </c>
      <c r="L88" s="333" t="s">
        <v>596</v>
      </c>
      <c r="M88" s="334" t="s">
        <v>595</v>
      </c>
    </row>
    <row r="89" spans="1:13">
      <c r="A89" s="314" t="s">
        <v>408</v>
      </c>
      <c r="B89" s="314" t="s">
        <v>411</v>
      </c>
      <c r="C89" s="314" t="s">
        <v>193</v>
      </c>
      <c r="D89" s="314" t="s">
        <v>408</v>
      </c>
      <c r="L89" s="333" t="s">
        <v>598</v>
      </c>
      <c r="M89" s="334" t="s">
        <v>597</v>
      </c>
    </row>
    <row r="90" spans="1:13">
      <c r="A90" s="314" t="s">
        <v>408</v>
      </c>
      <c r="B90" s="314" t="s">
        <v>412</v>
      </c>
      <c r="C90" s="314" t="s">
        <v>194</v>
      </c>
      <c r="D90" s="314" t="s">
        <v>408</v>
      </c>
      <c r="L90" s="333" t="s">
        <v>600</v>
      </c>
      <c r="M90" s="334" t="s">
        <v>599</v>
      </c>
    </row>
    <row r="91" spans="1:13">
      <c r="A91" s="314" t="s">
        <v>408</v>
      </c>
      <c r="B91" s="314" t="s">
        <v>413</v>
      </c>
      <c r="C91" s="314" t="s">
        <v>195</v>
      </c>
      <c r="D91" s="314" t="s">
        <v>408</v>
      </c>
      <c r="L91" s="333" t="s">
        <v>602</v>
      </c>
      <c r="M91" s="334" t="s">
        <v>601</v>
      </c>
    </row>
    <row r="92" spans="1:13">
      <c r="A92" s="314" t="s">
        <v>408</v>
      </c>
      <c r="B92" s="314" t="s">
        <v>414</v>
      </c>
      <c r="C92" s="314" t="s">
        <v>196</v>
      </c>
      <c r="D92" s="314" t="s">
        <v>408</v>
      </c>
      <c r="L92" s="333" t="s">
        <v>604</v>
      </c>
      <c r="M92" s="334" t="s">
        <v>603</v>
      </c>
    </row>
    <row r="93" spans="1:13">
      <c r="A93" s="314" t="s">
        <v>408</v>
      </c>
      <c r="B93" s="314" t="s">
        <v>416</v>
      </c>
      <c r="C93" s="314" t="s">
        <v>415</v>
      </c>
      <c r="D93" s="314" t="s">
        <v>408</v>
      </c>
      <c r="L93" s="333" t="s">
        <v>606</v>
      </c>
      <c r="M93" s="334" t="s">
        <v>605</v>
      </c>
    </row>
    <row r="94" spans="1:13">
      <c r="A94" s="314" t="s">
        <v>417</v>
      </c>
      <c r="B94" s="314" t="s">
        <v>418</v>
      </c>
      <c r="C94" s="314" t="s">
        <v>197</v>
      </c>
      <c r="D94" s="314" t="s">
        <v>417</v>
      </c>
      <c r="L94" s="333" t="s">
        <v>608</v>
      </c>
      <c r="M94" s="334" t="s">
        <v>607</v>
      </c>
    </row>
    <row r="95" spans="1:13">
      <c r="A95" s="314" t="s">
        <v>417</v>
      </c>
      <c r="B95" s="314" t="s">
        <v>419</v>
      </c>
      <c r="C95" s="314" t="s">
        <v>198</v>
      </c>
      <c r="D95" s="314" t="s">
        <v>417</v>
      </c>
      <c r="L95" s="333" t="s">
        <v>610</v>
      </c>
      <c r="M95" s="334" t="s">
        <v>609</v>
      </c>
    </row>
    <row r="96" spans="1:13">
      <c r="A96" s="314" t="s">
        <v>417</v>
      </c>
      <c r="B96" s="314" t="s">
        <v>420</v>
      </c>
      <c r="C96" s="314" t="s">
        <v>199</v>
      </c>
      <c r="D96" s="314" t="s">
        <v>417</v>
      </c>
      <c r="L96" s="333" t="s">
        <v>612</v>
      </c>
      <c r="M96" s="334" t="s">
        <v>611</v>
      </c>
    </row>
    <row r="97" spans="1:13">
      <c r="A97" s="314" t="s">
        <v>417</v>
      </c>
      <c r="B97" s="314" t="s">
        <v>421</v>
      </c>
      <c r="C97" s="314" t="s">
        <v>200</v>
      </c>
      <c r="D97" s="314" t="s">
        <v>417</v>
      </c>
      <c r="L97" s="333" t="s">
        <v>614</v>
      </c>
      <c r="M97" s="334" t="s">
        <v>613</v>
      </c>
    </row>
    <row r="98" spans="1:13">
      <c r="A98" s="314" t="s">
        <v>417</v>
      </c>
      <c r="B98" s="314" t="s">
        <v>422</v>
      </c>
      <c r="C98" s="314" t="s">
        <v>201</v>
      </c>
      <c r="D98" s="314" t="s">
        <v>417</v>
      </c>
      <c r="L98" s="333" t="s">
        <v>616</v>
      </c>
      <c r="M98" s="334" t="s">
        <v>615</v>
      </c>
    </row>
    <row r="99" spans="1:13">
      <c r="B99" s="290"/>
      <c r="C99" s="290" t="s">
        <v>423</v>
      </c>
      <c r="L99" s="333" t="s">
        <v>618</v>
      </c>
      <c r="M99" s="334" t="s">
        <v>617</v>
      </c>
    </row>
    <row r="100" spans="1:13">
      <c r="B100" s="290" t="s">
        <v>425</v>
      </c>
      <c r="C100" s="290" t="s">
        <v>424</v>
      </c>
      <c r="L100" s="333" t="s">
        <v>621</v>
      </c>
      <c r="M100" s="334" t="s">
        <v>145</v>
      </c>
    </row>
    <row r="101" spans="1:13">
      <c r="L101" s="333" t="s">
        <v>622</v>
      </c>
      <c r="M101" s="334"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68">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3" workbookViewId="0">
      <selection activeCell="B16" sqref="B16:F16"/>
    </sheetView>
  </sheetViews>
  <sheetFormatPr baseColWidth="10" defaultRowHeight="15"/>
  <cols>
    <col min="6" max="6" width="15.5703125" customWidth="1"/>
    <col min="7" max="7" width="15.5703125" bestFit="1" customWidth="1"/>
    <col min="8" max="8" width="14.28515625" style="442" customWidth="1"/>
    <col min="11" max="11" width="12.5703125" bestFit="1" customWidth="1"/>
    <col min="12" max="12" width="14.140625" customWidth="1"/>
    <col min="13" max="13" width="12.5703125" bestFit="1" customWidth="1"/>
  </cols>
  <sheetData>
    <row r="1" spans="1:14" ht="15.75" thickBot="1"/>
    <row r="2" spans="1:14" ht="39" thickBot="1">
      <c r="A2" s="436" t="s">
        <v>1283</v>
      </c>
      <c r="B2" s="635" t="s">
        <v>624</v>
      </c>
      <c r="C2" s="636"/>
      <c r="D2" s="636"/>
      <c r="E2" s="636"/>
      <c r="F2" s="637"/>
      <c r="G2" s="437" t="s">
        <v>1284</v>
      </c>
      <c r="H2" s="443" t="s">
        <v>1285</v>
      </c>
      <c r="I2" s="438" t="s">
        <v>469</v>
      </c>
      <c r="J2" s="438" t="s">
        <v>1286</v>
      </c>
      <c r="K2" s="437" t="s">
        <v>1287</v>
      </c>
      <c r="L2" s="437" t="s">
        <v>893</v>
      </c>
      <c r="M2" s="438" t="s">
        <v>1288</v>
      </c>
      <c r="N2" s="437" t="s">
        <v>1289</v>
      </c>
    </row>
    <row r="4" spans="1:14">
      <c r="A4" s="439">
        <v>10010101</v>
      </c>
      <c r="B4" s="634" t="s">
        <v>1290</v>
      </c>
      <c r="C4" s="634"/>
      <c r="D4" s="634"/>
      <c r="E4" s="634"/>
      <c r="F4" s="634"/>
      <c r="G4" s="444"/>
      <c r="H4" s="445">
        <f>+SUMIFS('GASTOS MAS INVERSIONES'!$N$14:$N$426,'GASTOS MAS INVERSIONES'!$B$14:$B$426,'Total Presupuesto'!A4,'GASTOS MAS INVERSIONES'!$H$14:$H$426,2)</f>
        <v>0</v>
      </c>
      <c r="I4" s="445">
        <f>+SUMIFS('GASTOS MAS INVERSIONES'!$N$14:$N$426,'GASTOS MAS INVERSIONES'!$B$14:$B$426,'Total Presupuesto'!A4,'GASTOS MAS INVERSIONES'!$H$14:$H$426,7)</f>
        <v>0</v>
      </c>
      <c r="J4" s="444"/>
      <c r="K4" s="446">
        <f>+SUM(H4:J4)</f>
        <v>0</v>
      </c>
      <c r="L4" s="445">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46">
        <f>+K4+L4</f>
        <v>0</v>
      </c>
      <c r="N4" s="444"/>
    </row>
    <row r="5" spans="1:14">
      <c r="A5" s="439">
        <v>10010102</v>
      </c>
      <c r="B5" s="634" t="s">
        <v>1291</v>
      </c>
      <c r="C5" s="634"/>
      <c r="D5" s="634"/>
      <c r="E5" s="634"/>
      <c r="F5" s="634"/>
      <c r="G5" s="444"/>
      <c r="H5" s="445">
        <f>+SUMIFS('GASTOS MAS INVERSIONES'!$N$14:$N$426,'GASTOS MAS INVERSIONES'!$B$14:$B$426,'Total Presupuesto'!A5,'GASTOS MAS INVERSIONES'!$H$14:$H$426,2)</f>
        <v>1200000</v>
      </c>
      <c r="I5" s="445">
        <f>+SUMIFS('GASTOS MAS INVERSIONES'!$N$14:$N$426,'GASTOS MAS INVERSIONES'!$B$14:$B$426,'Total Presupuesto'!A5,'GASTOS MAS INVERSIONES'!$H$14:$H$426,7)</f>
        <v>0</v>
      </c>
      <c r="J5" s="444"/>
      <c r="K5" s="446">
        <f t="shared" ref="K5:K34" si="0">+SUM(H5:J5)</f>
        <v>1200000</v>
      </c>
      <c r="L5" s="445">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990000</v>
      </c>
      <c r="M5" s="446">
        <f t="shared" ref="M5:M34" si="1">+K5+L5</f>
        <v>2190000</v>
      </c>
      <c r="N5" s="444"/>
    </row>
    <row r="6" spans="1:14">
      <c r="A6" s="439">
        <v>10020101</v>
      </c>
      <c r="B6" s="634" t="s">
        <v>1292</v>
      </c>
      <c r="C6" s="634"/>
      <c r="D6" s="634"/>
      <c r="E6" s="634"/>
      <c r="F6" s="634"/>
      <c r="G6" s="444"/>
      <c r="H6" s="445">
        <f>+SUMIFS('GASTOS MAS INVERSIONES'!$N$14:$N$426,'GASTOS MAS INVERSIONES'!$B$14:$B$426,'Total Presupuesto'!A6,'GASTOS MAS INVERSIONES'!$H$14:$H$426,2)</f>
        <v>0</v>
      </c>
      <c r="I6" s="445">
        <f>+SUMIFS('GASTOS MAS INVERSIONES'!$N$14:$N$426,'GASTOS MAS INVERSIONES'!$B$14:$B$426,'Total Presupuesto'!A6,'GASTOS MAS INVERSIONES'!$H$14:$H$426,7)</f>
        <v>0</v>
      </c>
      <c r="J6" s="444"/>
      <c r="K6" s="446">
        <f t="shared" si="0"/>
        <v>0</v>
      </c>
      <c r="L6" s="445">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0</v>
      </c>
      <c r="M6" s="446">
        <f t="shared" si="1"/>
        <v>0</v>
      </c>
      <c r="N6" s="444"/>
    </row>
    <row r="7" spans="1:14">
      <c r="A7" s="439">
        <v>10020102</v>
      </c>
      <c r="B7" s="634" t="s">
        <v>1293</v>
      </c>
      <c r="C7" s="634"/>
      <c r="D7" s="634"/>
      <c r="E7" s="634"/>
      <c r="F7" s="634"/>
      <c r="G7" s="444"/>
      <c r="H7" s="445">
        <f>+SUMIFS('GASTOS MAS INVERSIONES'!$N$14:$N$426,'GASTOS MAS INVERSIONES'!$B$14:$B$426,'Total Presupuesto'!A7,'GASTOS MAS INVERSIONES'!$H$14:$H$426,2)</f>
        <v>0</v>
      </c>
      <c r="I7" s="445">
        <f>+SUMIFS('GASTOS MAS INVERSIONES'!$N$14:$N$426,'GASTOS MAS INVERSIONES'!$B$14:$B$426,'Total Presupuesto'!A7,'GASTOS MAS INVERSIONES'!$H$14:$H$426,7)</f>
        <v>0</v>
      </c>
      <c r="J7" s="444"/>
      <c r="K7" s="446">
        <f t="shared" si="0"/>
        <v>0</v>
      </c>
      <c r="L7" s="445">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2000000</v>
      </c>
      <c r="M7" s="446">
        <f t="shared" si="1"/>
        <v>2000000</v>
      </c>
      <c r="N7" s="444"/>
    </row>
    <row r="8" spans="1:14">
      <c r="A8" s="439">
        <v>10030101</v>
      </c>
      <c r="B8" s="634" t="s">
        <v>1294</v>
      </c>
      <c r="C8" s="634"/>
      <c r="D8" s="634"/>
      <c r="E8" s="634"/>
      <c r="F8" s="634"/>
      <c r="G8" s="444"/>
      <c r="H8" s="445">
        <f>+SUMIFS('GASTOS MAS INVERSIONES'!$N$14:$N$426,'GASTOS MAS INVERSIONES'!$B$14:$B$426,'Total Presupuesto'!A8,'GASTOS MAS INVERSIONES'!$H$14:$H$426,2)</f>
        <v>0</v>
      </c>
      <c r="I8" s="445">
        <f>+SUMIFS('GASTOS MAS INVERSIONES'!$N$14:$N$426,'GASTOS MAS INVERSIONES'!$B$14:$B$426,'Total Presupuesto'!A8,'GASTOS MAS INVERSIONES'!$H$14:$H$426,7)</f>
        <v>0</v>
      </c>
      <c r="J8" s="444"/>
      <c r="K8" s="446">
        <f t="shared" si="0"/>
        <v>0</v>
      </c>
      <c r="L8" s="445">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46">
        <f t="shared" si="1"/>
        <v>0</v>
      </c>
      <c r="N8" s="444"/>
    </row>
    <row r="9" spans="1:14">
      <c r="A9" s="439">
        <v>10030102</v>
      </c>
      <c r="B9" s="634" t="s">
        <v>1295</v>
      </c>
      <c r="C9" s="634"/>
      <c r="D9" s="634"/>
      <c r="E9" s="634"/>
      <c r="F9" s="634"/>
      <c r="G9" s="444"/>
      <c r="H9" s="445">
        <f>+SUMIFS('GASTOS MAS INVERSIONES'!$N$14:$N$426,'GASTOS MAS INVERSIONES'!$B$14:$B$426,'Total Presupuesto'!A9,'GASTOS MAS INVERSIONES'!$H$14:$H$426,2)</f>
        <v>4960000</v>
      </c>
      <c r="I9" s="445">
        <f>+SUMIFS('GASTOS MAS INVERSIONES'!$N$14:$N$426,'GASTOS MAS INVERSIONES'!$B$14:$B$426,'Total Presupuesto'!A9,'GASTOS MAS INVERSIONES'!$H$14:$H$426,7)</f>
        <v>0</v>
      </c>
      <c r="J9" s="444"/>
      <c r="K9" s="446">
        <f t="shared" si="0"/>
        <v>4960000</v>
      </c>
      <c r="L9" s="445">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46">
        <f t="shared" si="1"/>
        <v>4960000</v>
      </c>
      <c r="N9" s="444"/>
    </row>
    <row r="10" spans="1:14">
      <c r="A10" s="439">
        <v>10030103</v>
      </c>
      <c r="B10" s="634" t="s">
        <v>1366</v>
      </c>
      <c r="C10" s="634"/>
      <c r="D10" s="634"/>
      <c r="E10" s="634"/>
      <c r="F10" s="634"/>
      <c r="G10" s="444"/>
      <c r="H10" s="445">
        <f>+SUMIFS('GASTOS MAS INVERSIONES'!$N$14:$N$426,'GASTOS MAS INVERSIONES'!$B$14:$B$426,'Total Presupuesto'!A10,'GASTOS MAS INVERSIONES'!$H$14:$H$426,2)</f>
        <v>3840000</v>
      </c>
      <c r="I10" s="445">
        <f>+SUMIFS('GASTOS MAS INVERSIONES'!$N$14:$N$426,'GASTOS MAS INVERSIONES'!$B$14:$B$426,'Total Presupuesto'!A10,'GASTOS MAS INVERSIONES'!$H$14:$H$426,7)</f>
        <v>0</v>
      </c>
      <c r="J10" s="444"/>
      <c r="K10" s="446">
        <f t="shared" ref="K10" si="2">+SUM(H10:J10)</f>
        <v>3840000</v>
      </c>
      <c r="L10" s="445">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46">
        <f t="shared" ref="M10" si="3">+K10+L10</f>
        <v>3840000</v>
      </c>
      <c r="N10" s="444"/>
    </row>
    <row r="11" spans="1:14">
      <c r="A11" s="439">
        <v>10040101</v>
      </c>
      <c r="B11" s="634" t="s">
        <v>1296</v>
      </c>
      <c r="C11" s="634"/>
      <c r="D11" s="634"/>
      <c r="E11" s="634"/>
      <c r="F11" s="634"/>
      <c r="G11" s="444"/>
      <c r="H11" s="445">
        <f>+SUMIFS('GASTOS MAS INVERSIONES'!$N$14:$N$426,'GASTOS MAS INVERSIONES'!$B$14:$B$426,'Total Presupuesto'!A11,'GASTOS MAS INVERSIONES'!$H$14:$H$426,2)</f>
        <v>1000000</v>
      </c>
      <c r="I11" s="445">
        <f>+SUMIFS('GASTOS MAS INVERSIONES'!$N$14:$N$426,'GASTOS MAS INVERSIONES'!$B$14:$B$426,'Total Presupuesto'!A11,'GASTOS MAS INVERSIONES'!$H$14:$H$426,7)</f>
        <v>0</v>
      </c>
      <c r="J11" s="444"/>
      <c r="K11" s="446">
        <f t="shared" si="0"/>
        <v>1000000</v>
      </c>
      <c r="L11" s="445">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46">
        <f t="shared" si="1"/>
        <v>1000000</v>
      </c>
      <c r="N11" s="444"/>
    </row>
    <row r="12" spans="1:14">
      <c r="A12" s="439">
        <v>10040102</v>
      </c>
      <c r="B12" s="634" t="s">
        <v>1297</v>
      </c>
      <c r="C12" s="634"/>
      <c r="D12" s="634"/>
      <c r="E12" s="634"/>
      <c r="F12" s="634"/>
      <c r="G12" s="444"/>
      <c r="H12" s="445">
        <f>+SUMIFS('GASTOS MAS INVERSIONES'!$N$14:$N$426,'GASTOS MAS INVERSIONES'!$B$14:$B$426,'Total Presupuesto'!A12,'GASTOS MAS INVERSIONES'!$H$14:$H$426,2)</f>
        <v>0</v>
      </c>
      <c r="I12" s="445">
        <f>+SUMIFS('GASTOS MAS INVERSIONES'!$N$14:$N$426,'GASTOS MAS INVERSIONES'!$B$14:$B$426,'Total Presupuesto'!A12,'GASTOS MAS INVERSIONES'!$H$14:$H$426,7)</f>
        <v>0</v>
      </c>
      <c r="J12" s="444"/>
      <c r="K12" s="446">
        <f t="shared" si="0"/>
        <v>0</v>
      </c>
      <c r="L12" s="445">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46">
        <f t="shared" si="1"/>
        <v>0</v>
      </c>
      <c r="N12" s="444"/>
    </row>
    <row r="13" spans="1:14">
      <c r="A13" s="439">
        <v>10040103</v>
      </c>
      <c r="B13" s="634" t="s">
        <v>1298</v>
      </c>
      <c r="C13" s="634"/>
      <c r="D13" s="634"/>
      <c r="E13" s="634"/>
      <c r="F13" s="634"/>
      <c r="G13" s="444"/>
      <c r="H13" s="445">
        <f>+SUMIFS('GASTOS MAS INVERSIONES'!$N$14:$N$426,'GASTOS MAS INVERSIONES'!$B$14:$B$426,'Total Presupuesto'!A13,'GASTOS MAS INVERSIONES'!$H$14:$H$426,2)</f>
        <v>0</v>
      </c>
      <c r="I13" s="445">
        <f>+SUMIFS('GASTOS MAS INVERSIONES'!$N$14:$N$426,'GASTOS MAS INVERSIONES'!$B$14:$B$426,'Total Presupuesto'!A13,'GASTOS MAS INVERSIONES'!$H$14:$H$426,7)</f>
        <v>0</v>
      </c>
      <c r="J13" s="444"/>
      <c r="K13" s="446">
        <f t="shared" si="0"/>
        <v>0</v>
      </c>
      <c r="L13" s="445">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46">
        <f t="shared" si="1"/>
        <v>0</v>
      </c>
      <c r="N13" s="444"/>
    </row>
    <row r="14" spans="1:14">
      <c r="A14" s="439">
        <v>10040104</v>
      </c>
      <c r="B14" s="634" t="s">
        <v>1299</v>
      </c>
      <c r="C14" s="634"/>
      <c r="D14" s="634"/>
      <c r="E14" s="634"/>
      <c r="F14" s="634"/>
      <c r="G14" s="444"/>
      <c r="H14" s="445">
        <f>+SUMIFS('GASTOS MAS INVERSIONES'!$N$14:$N$426,'GASTOS MAS INVERSIONES'!$B$14:$B$426,'Total Presupuesto'!A14,'GASTOS MAS INVERSIONES'!$H$14:$H$426,2)</f>
        <v>4560000</v>
      </c>
      <c r="I14" s="445">
        <f>+SUMIFS('GASTOS MAS INVERSIONES'!$N$14:$N$426,'GASTOS MAS INVERSIONES'!$B$14:$B$426,'Total Presupuesto'!A14,'GASTOS MAS INVERSIONES'!$H$14:$H$426,7)</f>
        <v>0</v>
      </c>
      <c r="J14" s="444"/>
      <c r="K14" s="446">
        <f t="shared" si="0"/>
        <v>4560000</v>
      </c>
      <c r="L14" s="445">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45461000</v>
      </c>
      <c r="M14" s="446">
        <f t="shared" si="1"/>
        <v>50021000</v>
      </c>
      <c r="N14" s="444"/>
    </row>
    <row r="15" spans="1:14">
      <c r="A15" s="439">
        <v>10050101</v>
      </c>
      <c r="B15" s="634" t="s">
        <v>1300</v>
      </c>
      <c r="C15" s="634"/>
      <c r="D15" s="634"/>
      <c r="E15" s="634"/>
      <c r="F15" s="634"/>
      <c r="G15" s="444"/>
      <c r="H15" s="445">
        <f>+SUMIFS('GASTOS MAS INVERSIONES'!$N$14:$N$426,'GASTOS MAS INVERSIONES'!$B$14:$B$426,'Total Presupuesto'!A15,'GASTOS MAS INVERSIONES'!$H$14:$H$426,5)</f>
        <v>10078000</v>
      </c>
      <c r="I15" s="445">
        <f>+SUMIFS('GASTOS MAS INVERSIONES'!$N$14:$N$426,'GASTOS MAS INVERSIONES'!$B$14:$B$426,'Total Presupuesto'!A15,'GASTOS MAS INVERSIONES'!$H$14:$H$426,7)</f>
        <v>0</v>
      </c>
      <c r="J15" s="444"/>
      <c r="K15" s="446">
        <f t="shared" si="0"/>
        <v>10078000</v>
      </c>
      <c r="L15" s="445">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9120000</v>
      </c>
      <c r="M15" s="446">
        <f t="shared" si="1"/>
        <v>19198000</v>
      </c>
      <c r="N15" s="444"/>
    </row>
    <row r="16" spans="1:14">
      <c r="A16" s="439">
        <v>10050102</v>
      </c>
      <c r="B16" s="634" t="s">
        <v>1301</v>
      </c>
      <c r="C16" s="634"/>
      <c r="D16" s="634"/>
      <c r="E16" s="634"/>
      <c r="F16" s="634"/>
      <c r="G16" s="444"/>
      <c r="H16" s="445">
        <f>+SUMIFS('GASTOS MAS INVERSIONES'!$N$14:$N$426,'GASTOS MAS INVERSIONES'!$B$14:$B$426,'Total Presupuesto'!A16,'GASTOS MAS INVERSIONES'!$H$14:$H$426,5)</f>
        <v>0</v>
      </c>
      <c r="I16" s="445">
        <f>+SUMIFS('GASTOS MAS INVERSIONES'!$N$14:$N$426,'GASTOS MAS INVERSIONES'!$B$14:$B$426,'Total Presupuesto'!A16,'GASTOS MAS INVERSIONES'!$H$14:$H$426,7)</f>
        <v>0</v>
      </c>
      <c r="J16" s="444"/>
      <c r="K16" s="446">
        <f t="shared" si="0"/>
        <v>0</v>
      </c>
      <c r="L16" s="445">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0</v>
      </c>
      <c r="M16" s="446">
        <f t="shared" si="1"/>
        <v>0</v>
      </c>
      <c r="N16" s="444"/>
    </row>
    <row r="17" spans="1:14">
      <c r="A17" s="439">
        <v>10060101</v>
      </c>
      <c r="B17" s="634" t="s">
        <v>1302</v>
      </c>
      <c r="C17" s="634"/>
      <c r="D17" s="634"/>
      <c r="E17" s="634"/>
      <c r="F17" s="634"/>
      <c r="G17" s="444"/>
      <c r="H17" s="445">
        <f>+SUMIFS('GASTOS MAS INVERSIONES'!$N$14:$N$426,'GASTOS MAS INVERSIONES'!$B$14:$B$426,'Total Presupuesto'!A17,'GASTOS MAS INVERSIONES'!$H$14:$H$426,2)</f>
        <v>0</v>
      </c>
      <c r="I17" s="445">
        <f>+SUMIFS('GASTOS MAS INVERSIONES'!$N$14:$N$426,'GASTOS MAS INVERSIONES'!$B$14:$B$426,'Total Presupuesto'!A17,'GASTOS MAS INVERSIONES'!$H$14:$H$426,7)</f>
        <v>0</v>
      </c>
      <c r="J17" s="444"/>
      <c r="K17" s="446">
        <f t="shared" si="0"/>
        <v>0</v>
      </c>
      <c r="L17" s="445">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46">
        <f t="shared" si="1"/>
        <v>0</v>
      </c>
      <c r="N17" s="444"/>
    </row>
    <row r="18" spans="1:14">
      <c r="A18" s="439">
        <v>10070101</v>
      </c>
      <c r="B18" s="634" t="s">
        <v>1303</v>
      </c>
      <c r="C18" s="634"/>
      <c r="D18" s="634"/>
      <c r="E18" s="634"/>
      <c r="F18" s="634"/>
      <c r="G18" s="444"/>
      <c r="H18" s="445">
        <f>+SUMIFS('GASTOS MAS INVERSIONES'!$N$14:$N$426,'GASTOS MAS INVERSIONES'!$B$14:$B$426,'Total Presupuesto'!A18,'GASTOS MAS INVERSIONES'!$H$14:$H$426,2)</f>
        <v>900000</v>
      </c>
      <c r="I18" s="445">
        <f>+SUMIFS('GASTOS MAS INVERSIONES'!$N$14:$N$426,'GASTOS MAS INVERSIONES'!$B$14:$B$426,'Total Presupuesto'!A18,'GASTOS MAS INVERSIONES'!$H$14:$H$426,7)</f>
        <v>0</v>
      </c>
      <c r="J18" s="444"/>
      <c r="K18" s="446">
        <f t="shared" si="0"/>
        <v>900000</v>
      </c>
      <c r="L18" s="445">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46">
        <f t="shared" si="1"/>
        <v>900000</v>
      </c>
      <c r="N18" s="444"/>
    </row>
    <row r="19" spans="1:14">
      <c r="A19" s="439">
        <v>10070102</v>
      </c>
      <c r="B19" s="634" t="s">
        <v>1304</v>
      </c>
      <c r="C19" s="634"/>
      <c r="D19" s="634"/>
      <c r="E19" s="634"/>
      <c r="F19" s="634"/>
      <c r="G19" s="444"/>
      <c r="H19" s="445">
        <f>+SUMIFS('GASTOS MAS INVERSIONES'!$N$14:$N$426,'GASTOS MAS INVERSIONES'!$B$14:$B$426,'Total Presupuesto'!A19,'GASTOS MAS INVERSIONES'!$H$14:$H$426,2)</f>
        <v>0</v>
      </c>
      <c r="I19" s="445">
        <f>+SUMIFS('GASTOS MAS INVERSIONES'!$N$14:$N$426,'GASTOS MAS INVERSIONES'!$B$14:$B$426,'Total Presupuesto'!A19,'GASTOS MAS INVERSIONES'!$H$14:$H$426,7)</f>
        <v>0</v>
      </c>
      <c r="J19" s="444"/>
      <c r="K19" s="446">
        <f t="shared" si="0"/>
        <v>0</v>
      </c>
      <c r="L19" s="445">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46">
        <f t="shared" si="1"/>
        <v>0</v>
      </c>
      <c r="N19" s="444"/>
    </row>
    <row r="20" spans="1:14">
      <c r="A20" s="439">
        <v>10070103</v>
      </c>
      <c r="B20" s="634" t="s">
        <v>1305</v>
      </c>
      <c r="C20" s="634"/>
      <c r="D20" s="634"/>
      <c r="E20" s="634"/>
      <c r="F20" s="634"/>
      <c r="G20" s="444"/>
      <c r="H20" s="445">
        <f>+SUMIFS('GASTOS MAS INVERSIONES'!$N$14:$N$426,'GASTOS MAS INVERSIONES'!$B$14:$B$426,'Total Presupuesto'!A20,'GASTOS MAS INVERSIONES'!$H$14:$H$426,2)</f>
        <v>3600000</v>
      </c>
      <c r="I20" s="445">
        <f>+SUMIFS('GASTOS MAS INVERSIONES'!$N$14:$N$426,'GASTOS MAS INVERSIONES'!$B$14:$B$426,'Total Presupuesto'!A20,'GASTOS MAS INVERSIONES'!$H$14:$H$426,7)</f>
        <v>0</v>
      </c>
      <c r="J20" s="444"/>
      <c r="K20" s="446">
        <f t="shared" si="0"/>
        <v>3600000</v>
      </c>
      <c r="L20" s="445">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0</v>
      </c>
      <c r="M20" s="446">
        <f t="shared" si="1"/>
        <v>3600000</v>
      </c>
      <c r="N20" s="444"/>
    </row>
    <row r="21" spans="1:14">
      <c r="A21" s="439">
        <v>10080101</v>
      </c>
      <c r="B21" s="634" t="s">
        <v>1306</v>
      </c>
      <c r="C21" s="634"/>
      <c r="D21" s="634"/>
      <c r="E21" s="634"/>
      <c r="F21" s="634"/>
      <c r="G21" s="444"/>
      <c r="H21" s="445">
        <f>+SUMIFS('GASTOS MAS INVERSIONES'!$N$14:$N$426,'GASTOS MAS INVERSIONES'!$B$14:$B$426,'Total Presupuesto'!A21,'GASTOS MAS INVERSIONES'!$H$14:$H$426,2)</f>
        <v>7150000</v>
      </c>
      <c r="I21" s="445">
        <f>+SUMIFS('GASTOS MAS INVERSIONES'!$N$14:$N$426,'GASTOS MAS INVERSIONES'!$B$14:$B$426,'Total Presupuesto'!A21,'GASTOS MAS INVERSIONES'!$H$14:$H$426,7)</f>
        <v>0</v>
      </c>
      <c r="J21" s="444"/>
      <c r="K21" s="446">
        <f t="shared" si="0"/>
        <v>7150000</v>
      </c>
      <c r="L21" s="445">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46">
        <f t="shared" si="1"/>
        <v>7150000</v>
      </c>
      <c r="N21" s="444"/>
    </row>
    <row r="22" spans="1:14">
      <c r="A22" s="439">
        <v>10080102</v>
      </c>
      <c r="B22" s="634" t="s">
        <v>1307</v>
      </c>
      <c r="C22" s="634"/>
      <c r="D22" s="634"/>
      <c r="E22" s="634"/>
      <c r="F22" s="634"/>
      <c r="G22" s="444"/>
      <c r="H22" s="445">
        <f>+SUMIFS('GASTOS MAS INVERSIONES'!$N$14:$N$426,'GASTOS MAS INVERSIONES'!$B$14:$B$426,'Total Presupuesto'!A22,'GASTOS MAS INVERSIONES'!$H$14:$H$426,2)</f>
        <v>13414000</v>
      </c>
      <c r="I22" s="445">
        <f>+SUMIFS('GASTOS MAS INVERSIONES'!$N$14:$N$426,'GASTOS MAS INVERSIONES'!$B$14:$B$426,'Total Presupuesto'!A22,'GASTOS MAS INVERSIONES'!$H$14:$H$426,7)</f>
        <v>0</v>
      </c>
      <c r="J22" s="444"/>
      <c r="K22" s="446">
        <f t="shared" si="0"/>
        <v>13414000</v>
      </c>
      <c r="L22" s="445">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1800000</v>
      </c>
      <c r="M22" s="446">
        <f t="shared" si="1"/>
        <v>15214000</v>
      </c>
      <c r="N22" s="444"/>
    </row>
    <row r="23" spans="1:14">
      <c r="A23" s="439">
        <v>10090101</v>
      </c>
      <c r="B23" s="634" t="s">
        <v>1308</v>
      </c>
      <c r="C23" s="634"/>
      <c r="D23" s="634"/>
      <c r="E23" s="634"/>
      <c r="F23" s="634"/>
      <c r="G23" s="444"/>
      <c r="H23" s="445">
        <f>+SUMIFS('GASTOS MAS INVERSIONES'!$N$14:$N$426,'GASTOS MAS INVERSIONES'!$B$14:$B$426,'Total Presupuesto'!A23,'GASTOS MAS INVERSIONES'!$H$14:$H$426,2)</f>
        <v>0</v>
      </c>
      <c r="I23" s="445">
        <f>+SUMIFS('GASTOS MAS INVERSIONES'!$N$14:$N$426,'GASTOS MAS INVERSIONES'!$B$14:$B$426,'Total Presupuesto'!A23,'GASTOS MAS INVERSIONES'!$H$14:$H$426,7)</f>
        <v>0</v>
      </c>
      <c r="J23" s="444"/>
      <c r="K23" s="446">
        <f t="shared" si="0"/>
        <v>0</v>
      </c>
      <c r="L23" s="445">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46">
        <f t="shared" si="1"/>
        <v>0</v>
      </c>
      <c r="N23" s="444"/>
    </row>
    <row r="24" spans="1:14">
      <c r="A24" s="439">
        <v>10100101</v>
      </c>
      <c r="B24" s="634" t="s">
        <v>1309</v>
      </c>
      <c r="C24" s="634"/>
      <c r="D24" s="634"/>
      <c r="E24" s="634"/>
      <c r="F24" s="634"/>
      <c r="G24" s="444"/>
      <c r="H24" s="445">
        <f>+SUMIFS('GASTOS MAS INVERSIONES'!$N$14:$N$426,'GASTOS MAS INVERSIONES'!$B$14:$B$426,'Total Presupuesto'!A24,'GASTOS MAS INVERSIONES'!$H$14:$H$426,2)</f>
        <v>0</v>
      </c>
      <c r="I24" s="445">
        <f>+SUMIFS('GASTOS MAS INVERSIONES'!$N$14:$N$426,'GASTOS MAS INVERSIONES'!$B$14:$B$426,'Total Presupuesto'!A24,'GASTOS MAS INVERSIONES'!$H$14:$H$426,7)</f>
        <v>0</v>
      </c>
      <c r="J24" s="444"/>
      <c r="K24" s="446">
        <f t="shared" si="0"/>
        <v>0</v>
      </c>
      <c r="L24" s="445">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46">
        <f t="shared" si="1"/>
        <v>0</v>
      </c>
      <c r="N24" s="444"/>
    </row>
    <row r="25" spans="1:14">
      <c r="A25" s="439">
        <v>10110101</v>
      </c>
      <c r="B25" s="634" t="s">
        <v>1310</v>
      </c>
      <c r="C25" s="634"/>
      <c r="D25" s="634"/>
      <c r="E25" s="634"/>
      <c r="F25" s="634"/>
      <c r="G25" s="444"/>
      <c r="H25" s="445">
        <f>+SUMIFS('GASTOS MAS INVERSIONES'!$N$14:$N$426,'GASTOS MAS INVERSIONES'!$B$14:$B$426,'Total Presupuesto'!A25,'GASTOS MAS INVERSIONES'!$H$14:$H$426,2)</f>
        <v>0</v>
      </c>
      <c r="I25" s="445">
        <f>+SUMIFS('GASTOS MAS INVERSIONES'!$N$14:$N$426,'GASTOS MAS INVERSIONES'!$B$14:$B$426,'Total Presupuesto'!A25,'GASTOS MAS INVERSIONES'!$H$14:$H$426,7)</f>
        <v>0</v>
      </c>
      <c r="J25" s="444"/>
      <c r="K25" s="446">
        <f t="shared" si="0"/>
        <v>0</v>
      </c>
      <c r="L25" s="445">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46">
        <f t="shared" si="1"/>
        <v>0</v>
      </c>
      <c r="N25" s="444"/>
    </row>
    <row r="26" spans="1:14">
      <c r="A26" s="439">
        <v>10110102</v>
      </c>
      <c r="B26" s="634" t="s">
        <v>1311</v>
      </c>
      <c r="C26" s="634"/>
      <c r="D26" s="634"/>
      <c r="E26" s="634"/>
      <c r="F26" s="634"/>
      <c r="G26" s="444"/>
      <c r="H26" s="445">
        <f>+SUMIFS('GASTOS MAS INVERSIONES'!$N$14:$N$426,'GASTOS MAS INVERSIONES'!$B$14:$B$426,'Total Presupuesto'!A26,'GASTOS MAS INVERSIONES'!$H$14:$H$426,2)</f>
        <v>0</v>
      </c>
      <c r="I26" s="445">
        <f>+SUMIFS('GASTOS MAS INVERSIONES'!$N$14:$N$426,'GASTOS MAS INVERSIONES'!$B$14:$B$426,'Total Presupuesto'!A26,'GASTOS MAS INVERSIONES'!$H$14:$H$426,7)</f>
        <v>0</v>
      </c>
      <c r="J26" s="444"/>
      <c r="K26" s="446">
        <f t="shared" si="0"/>
        <v>0</v>
      </c>
      <c r="L26" s="445">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46">
        <f t="shared" si="1"/>
        <v>0</v>
      </c>
      <c r="N26" s="444"/>
    </row>
    <row r="27" spans="1:14">
      <c r="A27" s="439">
        <v>10110103</v>
      </c>
      <c r="B27" s="634" t="s">
        <v>1312</v>
      </c>
      <c r="C27" s="634"/>
      <c r="D27" s="634"/>
      <c r="E27" s="634"/>
      <c r="F27" s="634"/>
      <c r="G27" s="444"/>
      <c r="H27" s="445">
        <f>+SUMIFS('GASTOS MAS INVERSIONES'!$N$14:$N$426,'GASTOS MAS INVERSIONES'!$B$14:$B$426,'Total Presupuesto'!A27,'GASTOS MAS INVERSIONES'!$H$14:$H$426,2)</f>
        <v>0</v>
      </c>
      <c r="I27" s="445">
        <f>+SUMIFS('GASTOS MAS INVERSIONES'!$N$14:$N$426,'GASTOS MAS INVERSIONES'!$B$14:$B$426,'Total Presupuesto'!A27,'GASTOS MAS INVERSIONES'!$H$14:$H$426,7)</f>
        <v>0</v>
      </c>
      <c r="J27" s="444"/>
      <c r="K27" s="446">
        <f t="shared" si="0"/>
        <v>0</v>
      </c>
      <c r="L27" s="445">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46">
        <f t="shared" si="1"/>
        <v>0</v>
      </c>
      <c r="N27" s="444"/>
    </row>
    <row r="28" spans="1:14">
      <c r="A28" s="439">
        <v>10120101</v>
      </c>
      <c r="B28" s="634" t="s">
        <v>1313</v>
      </c>
      <c r="C28" s="634"/>
      <c r="D28" s="634"/>
      <c r="E28" s="634"/>
      <c r="F28" s="634"/>
      <c r="G28" s="444"/>
      <c r="H28" s="445">
        <f>+SUMIFS('GASTOS MAS INVERSIONES'!$N$14:$N$426,'GASTOS MAS INVERSIONES'!$B$14:$B$426,'Total Presupuesto'!A28,'GASTOS MAS INVERSIONES'!$H$14:$H$426,2)</f>
        <v>0</v>
      </c>
      <c r="I28" s="445">
        <f>+SUMIFS('GASTOS MAS INVERSIONES'!$N$14:$N$426,'GASTOS MAS INVERSIONES'!$B$14:$B$426,'Total Presupuesto'!A28,'GASTOS MAS INVERSIONES'!$H$14:$H$426,7)</f>
        <v>0</v>
      </c>
      <c r="J28" s="444"/>
      <c r="K28" s="446">
        <f t="shared" si="0"/>
        <v>0</v>
      </c>
      <c r="L28" s="445">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46">
        <f t="shared" si="1"/>
        <v>0</v>
      </c>
      <c r="N28" s="444"/>
    </row>
    <row r="29" spans="1:14">
      <c r="A29" s="439">
        <v>10120102</v>
      </c>
      <c r="B29" s="634" t="s">
        <v>1314</v>
      </c>
      <c r="C29" s="634"/>
      <c r="D29" s="634"/>
      <c r="E29" s="634"/>
      <c r="F29" s="634"/>
      <c r="G29" s="444"/>
      <c r="H29" s="445">
        <f>+SUMIFS('GASTOS MAS INVERSIONES'!$N$14:$N$426,'GASTOS MAS INVERSIONES'!$B$14:$B$426,'Total Presupuesto'!A29,'GASTOS MAS INVERSIONES'!$H$14:$H$426,2)</f>
        <v>0</v>
      </c>
      <c r="I29" s="445">
        <f>+SUMIFS('GASTOS MAS INVERSIONES'!$N$14:$N$426,'GASTOS MAS INVERSIONES'!$B$14:$B$426,'Total Presupuesto'!A29,'GASTOS MAS INVERSIONES'!$H$14:$H$426,7)</f>
        <v>0</v>
      </c>
      <c r="J29" s="444"/>
      <c r="K29" s="446">
        <f t="shared" si="0"/>
        <v>0</v>
      </c>
      <c r="L29" s="445">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46">
        <f t="shared" si="1"/>
        <v>0</v>
      </c>
      <c r="N29" s="444"/>
    </row>
    <row r="30" spans="1:14">
      <c r="A30" s="439">
        <v>10130101</v>
      </c>
      <c r="B30" s="634" t="s">
        <v>1315</v>
      </c>
      <c r="C30" s="634"/>
      <c r="D30" s="634"/>
      <c r="E30" s="634"/>
      <c r="F30" s="634"/>
      <c r="G30" s="444"/>
      <c r="H30" s="445">
        <f>+SUMIFS('GASTOS MAS INVERSIONES'!$N$14:$N$426,'GASTOS MAS INVERSIONES'!$B$14:$B$426,'Total Presupuesto'!A30,'GASTOS MAS INVERSIONES'!$H$14:$H$426,2)</f>
        <v>0</v>
      </c>
      <c r="I30" s="445">
        <f>+SUMIFS('GASTOS MAS INVERSIONES'!$N$14:$N$426,'GASTOS MAS INVERSIONES'!$B$14:$B$426,'Total Presupuesto'!A30,'GASTOS MAS INVERSIONES'!$H$14:$H$426,7)</f>
        <v>0</v>
      </c>
      <c r="J30" s="444"/>
      <c r="K30" s="446">
        <f t="shared" si="0"/>
        <v>0</v>
      </c>
      <c r="L30" s="445">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46">
        <f t="shared" si="1"/>
        <v>0</v>
      </c>
      <c r="N30" s="444"/>
    </row>
    <row r="31" spans="1:14">
      <c r="A31" s="439">
        <v>10130102</v>
      </c>
      <c r="B31" s="634" t="s">
        <v>1316</v>
      </c>
      <c r="C31" s="634"/>
      <c r="D31" s="634"/>
      <c r="E31" s="634"/>
      <c r="F31" s="634"/>
      <c r="G31" s="444"/>
      <c r="H31" s="445">
        <f>+SUMIFS('GASTOS MAS INVERSIONES'!$N$14:$N$426,'GASTOS MAS INVERSIONES'!$B$14:$B$426,'Total Presupuesto'!A31,'GASTOS MAS INVERSIONES'!$H$14:$H$426,2)</f>
        <v>0</v>
      </c>
      <c r="I31" s="445">
        <f>+SUMIFS('GASTOS MAS INVERSIONES'!$N$14:$N$426,'GASTOS MAS INVERSIONES'!$B$14:$B$426,'Total Presupuesto'!A31,'GASTOS MAS INVERSIONES'!$H$14:$H$426,7)</f>
        <v>0</v>
      </c>
      <c r="J31" s="444"/>
      <c r="K31" s="446">
        <f t="shared" si="0"/>
        <v>0</v>
      </c>
      <c r="L31" s="445">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2345000</v>
      </c>
      <c r="M31" s="446">
        <f t="shared" si="1"/>
        <v>2345000</v>
      </c>
      <c r="N31" s="444"/>
    </row>
    <row r="32" spans="1:14">
      <c r="A32" s="439">
        <v>10140101</v>
      </c>
      <c r="B32" s="634" t="s">
        <v>1317</v>
      </c>
      <c r="C32" s="634"/>
      <c r="D32" s="634"/>
      <c r="E32" s="634"/>
      <c r="F32" s="634"/>
      <c r="G32" s="444"/>
      <c r="H32" s="445">
        <f>+SUMIFS('GASTOS MAS INVERSIONES'!$N$14:$N$426,'GASTOS MAS INVERSIONES'!$B$14:$B$426,'Total Presupuesto'!A32,'GASTOS MAS INVERSIONES'!$H$14:$H$426,2)</f>
        <v>9000000</v>
      </c>
      <c r="I32" s="445">
        <f>+SUMIFS('GASTOS MAS INVERSIONES'!$N$14:$N$426,'GASTOS MAS INVERSIONES'!$B$14:$B$426,'Total Presupuesto'!A32,'GASTOS MAS INVERSIONES'!$H$14:$H$426,7)</f>
        <v>0</v>
      </c>
      <c r="J32" s="444"/>
      <c r="K32" s="446">
        <f t="shared" si="0"/>
        <v>9000000</v>
      </c>
      <c r="L32" s="445">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46">
        <f t="shared" si="1"/>
        <v>9000000</v>
      </c>
      <c r="N32" s="444"/>
    </row>
    <row r="33" spans="1:14">
      <c r="A33" s="440" t="s">
        <v>145</v>
      </c>
      <c r="B33" s="634" t="s">
        <v>1318</v>
      </c>
      <c r="C33" s="634"/>
      <c r="D33" s="634"/>
      <c r="E33" s="634"/>
      <c r="F33" s="634"/>
      <c r="G33" s="444"/>
      <c r="H33" s="445">
        <f>+SUMIFS('GASTOS MAS INVERSIONES'!$N$14:$N$426,'GASTOS MAS INVERSIONES'!$B$14:$B$426,'Total Presupuesto'!A33,'GASTOS MAS INVERSIONES'!$H$14:$H$426,2)</f>
        <v>97697000</v>
      </c>
      <c r="I33" s="445">
        <f>+SUMIFS('GASTOS MAS INVERSIONES'!$N$14:$N$426,'GASTOS MAS INVERSIONES'!$B$14:$B$426,'Total Presupuesto'!A33,'GASTOS MAS INVERSIONES'!$H$14:$H$426,7)</f>
        <v>0</v>
      </c>
      <c r="J33" s="444"/>
      <c r="K33" s="446">
        <f t="shared" si="0"/>
        <v>97697000</v>
      </c>
      <c r="L33" s="445">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46">
        <f t="shared" si="1"/>
        <v>97697000</v>
      </c>
      <c r="N33" s="444"/>
    </row>
    <row r="34" spans="1:14">
      <c r="A34" s="441" t="s">
        <v>146</v>
      </c>
      <c r="B34" s="634" t="s">
        <v>1319</v>
      </c>
      <c r="C34" s="634"/>
      <c r="D34" s="634"/>
      <c r="E34" s="634"/>
      <c r="F34" s="634"/>
      <c r="G34" s="444"/>
      <c r="H34" s="445">
        <f>+SUMIFS('GASTOS MAS INVERSIONES'!$N$14:$N$426,'GASTOS MAS INVERSIONES'!$B$14:$B$426,'Total Presupuesto'!A34,'GASTOS MAS INVERSIONES'!$H$14:$H$426,2)</f>
        <v>0</v>
      </c>
      <c r="I34" s="445">
        <f>+SUMIFS('GASTOS MAS INVERSIONES'!$N$14:$N$426,'GASTOS MAS INVERSIONES'!$B$14:$B$426,'Total Presupuesto'!A34,'GASTOS MAS INVERSIONES'!$H$14:$H$426,7)</f>
        <v>0</v>
      </c>
      <c r="J34" s="444"/>
      <c r="K34" s="446">
        <f t="shared" si="0"/>
        <v>0</v>
      </c>
      <c r="L34" s="445">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46">
        <f t="shared" si="1"/>
        <v>0</v>
      </c>
      <c r="N34" s="444"/>
    </row>
    <row r="35" spans="1:14">
      <c r="A35" s="441" t="s">
        <v>160</v>
      </c>
      <c r="B35" s="634" t="s">
        <v>1320</v>
      </c>
      <c r="C35" s="634"/>
      <c r="D35" s="634"/>
      <c r="E35" s="634"/>
      <c r="F35" s="634"/>
      <c r="G35" s="457">
        <f>+INGRESOS!L108</f>
        <v>1058705000</v>
      </c>
      <c r="H35" s="445"/>
      <c r="I35" s="444"/>
      <c r="J35" s="444"/>
      <c r="K35" s="444"/>
      <c r="L35" s="444"/>
      <c r="M35" s="444"/>
      <c r="N35" s="444"/>
    </row>
    <row r="36" spans="1:14">
      <c r="A36" s="441" t="s">
        <v>161</v>
      </c>
      <c r="B36" s="634" t="s">
        <v>1321</v>
      </c>
      <c r="C36" s="634"/>
      <c r="D36" s="634"/>
      <c r="E36" s="634"/>
      <c r="F36" s="634"/>
      <c r="G36" s="444"/>
      <c r="H36" s="445"/>
      <c r="I36" s="444"/>
      <c r="J36" s="444"/>
      <c r="K36" s="444"/>
      <c r="L36" s="444"/>
      <c r="M36" s="444"/>
      <c r="N36" s="444"/>
    </row>
    <row r="37" spans="1:14">
      <c r="A37" s="441" t="s">
        <v>1322</v>
      </c>
      <c r="B37" s="634" t="s">
        <v>1323</v>
      </c>
      <c r="C37" s="634"/>
      <c r="D37" s="634"/>
      <c r="E37" s="634"/>
      <c r="F37" s="634"/>
      <c r="G37" s="444"/>
      <c r="H37" s="445"/>
      <c r="I37" s="444"/>
      <c r="J37" s="444"/>
      <c r="K37" s="444"/>
      <c r="L37" s="444"/>
      <c r="M37" s="444"/>
      <c r="N37" s="444"/>
    </row>
    <row r="38" spans="1:14">
      <c r="A38" s="441" t="s">
        <v>1324</v>
      </c>
      <c r="B38" s="634" t="s">
        <v>1325</v>
      </c>
      <c r="C38" s="634"/>
      <c r="D38" s="634"/>
      <c r="E38" s="634"/>
      <c r="F38" s="634"/>
      <c r="G38" s="444"/>
      <c r="H38" s="445"/>
      <c r="I38" s="444"/>
      <c r="J38" s="444"/>
      <c r="K38" s="444"/>
      <c r="L38" s="444"/>
      <c r="M38" s="444"/>
      <c r="N38" s="444"/>
    </row>
    <row r="39" spans="1:14">
      <c r="A39" s="441" t="s">
        <v>1326</v>
      </c>
      <c r="B39" s="634" t="s">
        <v>1327</v>
      </c>
      <c r="C39" s="634"/>
      <c r="D39" s="634"/>
      <c r="E39" s="634"/>
      <c r="F39" s="634"/>
      <c r="G39" s="444"/>
      <c r="H39" s="445"/>
      <c r="I39" s="444"/>
      <c r="J39" s="444"/>
      <c r="K39" s="444"/>
      <c r="L39" s="444"/>
      <c r="M39" s="444"/>
      <c r="N39" s="444"/>
    </row>
    <row r="40" spans="1:14">
      <c r="A40" s="441" t="s">
        <v>1328</v>
      </c>
      <c r="B40" s="634" t="s">
        <v>1329</v>
      </c>
      <c r="C40" s="634"/>
      <c r="D40" s="634"/>
      <c r="E40" s="634"/>
      <c r="F40" s="634"/>
      <c r="G40" s="444"/>
      <c r="H40" s="445"/>
      <c r="I40" s="444"/>
      <c r="J40" s="444"/>
      <c r="K40" s="444"/>
      <c r="L40" s="444"/>
      <c r="M40" s="444"/>
      <c r="N40" s="444"/>
    </row>
    <row r="42" spans="1:14">
      <c r="A42" s="638" t="s">
        <v>1330</v>
      </c>
      <c r="B42" s="638"/>
      <c r="C42" s="638"/>
      <c r="D42" s="638"/>
      <c r="E42" s="638"/>
      <c r="F42" s="638"/>
      <c r="G42" s="445">
        <f>+SUM(G4:G40)</f>
        <v>1058705000</v>
      </c>
      <c r="H42" s="445">
        <f t="shared" ref="H42:M42" si="4">+SUM(H4:H40)</f>
        <v>157399000</v>
      </c>
      <c r="I42" s="445">
        <f t="shared" si="4"/>
        <v>0</v>
      </c>
      <c r="J42" s="445">
        <f t="shared" si="4"/>
        <v>0</v>
      </c>
      <c r="K42" s="445">
        <f t="shared" si="4"/>
        <v>157399000</v>
      </c>
      <c r="L42" s="445">
        <f t="shared" si="4"/>
        <v>61716000</v>
      </c>
      <c r="M42" s="445">
        <f t="shared" si="4"/>
        <v>219115000</v>
      </c>
      <c r="N42" s="444"/>
    </row>
    <row r="44" spans="1:14" ht="30">
      <c r="F44" s="447"/>
      <c r="G44" s="447"/>
      <c r="H44" s="448" t="s">
        <v>1331</v>
      </c>
      <c r="I44" s="449"/>
      <c r="J44" s="449"/>
      <c r="K44" s="449"/>
      <c r="L44" s="448" t="s">
        <v>1332</v>
      </c>
    </row>
    <row r="45" spans="1:14">
      <c r="A45" t="s">
        <v>619</v>
      </c>
      <c r="E45" s="450">
        <v>0.17</v>
      </c>
      <c r="F45" s="447">
        <f>+$G$42*E45</f>
        <v>179979850</v>
      </c>
      <c r="G45" s="447"/>
      <c r="H45" s="451">
        <f>+F45+F46</f>
        <v>201153950</v>
      </c>
      <c r="J45" s="447"/>
      <c r="K45" s="447"/>
      <c r="L45" s="458">
        <f>+H45-M42</f>
        <v>-17961050</v>
      </c>
    </row>
    <row r="46" spans="1:14">
      <c r="A46" t="s">
        <v>1333</v>
      </c>
      <c r="E46" s="450">
        <v>0.02</v>
      </c>
      <c r="F46" s="447">
        <f t="shared" ref="F46:F50" si="5">+$G$42*E46</f>
        <v>21174100</v>
      </c>
      <c r="G46" s="452">
        <f>+M15+M16</f>
        <v>19198000</v>
      </c>
      <c r="H46" s="447"/>
      <c r="I46" s="447"/>
      <c r="J46" s="447"/>
      <c r="K46" s="447"/>
      <c r="L46" s="447"/>
    </row>
    <row r="47" spans="1:14">
      <c r="A47" t="s">
        <v>1334</v>
      </c>
      <c r="E47" s="450">
        <v>7.0000000000000007E-2</v>
      </c>
      <c r="F47" s="447">
        <f t="shared" si="5"/>
        <v>74109350</v>
      </c>
      <c r="G47" s="447"/>
      <c r="H47" s="447"/>
      <c r="I47" s="447"/>
      <c r="J47" s="447"/>
      <c r="K47" s="447"/>
      <c r="L47" s="447"/>
    </row>
    <row r="48" spans="1:14">
      <c r="A48" t="s">
        <v>1335</v>
      </c>
      <c r="E48" s="450">
        <v>0.57999999999999996</v>
      </c>
      <c r="F48" s="447">
        <f t="shared" si="5"/>
        <v>614048900</v>
      </c>
      <c r="G48" s="473">
        <v>645520459</v>
      </c>
      <c r="H48" s="447"/>
      <c r="I48" s="447"/>
      <c r="J48" s="447"/>
      <c r="K48" s="447"/>
      <c r="L48" s="447"/>
    </row>
    <row r="49" spans="1:12">
      <c r="A49" t="s">
        <v>1336</v>
      </c>
      <c r="E49" s="450">
        <v>0.05</v>
      </c>
      <c r="F49" s="447">
        <f t="shared" si="5"/>
        <v>52935250</v>
      </c>
      <c r="G49" s="447"/>
      <c r="H49" s="447"/>
      <c r="I49" s="447"/>
      <c r="J49" s="447"/>
      <c r="K49" s="447"/>
      <c r="L49" s="447"/>
    </row>
    <row r="50" spans="1:12">
      <c r="A50" t="s">
        <v>1337</v>
      </c>
      <c r="E50" s="450">
        <v>0.11</v>
      </c>
      <c r="F50" s="447">
        <f t="shared" si="5"/>
        <v>116457550</v>
      </c>
      <c r="G50" s="447"/>
      <c r="H50" s="447"/>
      <c r="I50" s="447"/>
      <c r="J50" s="447"/>
      <c r="K50" s="447"/>
      <c r="L50" s="447"/>
    </row>
    <row r="51" spans="1:12">
      <c r="E51" s="450">
        <f>SUM(E45:E50)</f>
        <v>1</v>
      </c>
      <c r="F51" s="447"/>
      <c r="G51" s="447"/>
      <c r="H51" s="447"/>
      <c r="I51" s="447"/>
      <c r="J51" s="447"/>
      <c r="K51" s="447"/>
      <c r="L51" s="447"/>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2020-03-09T21:43:41Z</dcterms:modified>
</cp:coreProperties>
</file>