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228"/>
  <workbookPr updateLinks="always" defaultThemeVersion="124226"/>
  <mc:AlternateContent xmlns:mc="http://schemas.openxmlformats.org/markup-compatibility/2006">
    <mc:Choice Requires="x15">
      <x15ac:absPath xmlns:x15ac="http://schemas.microsoft.com/office/spreadsheetml/2010/11/ac" url="C:\Users\jaime.velez\OneDrive - Universidad Libre\Planes de accion 2020\Academicos\03 Derecho\"/>
    </mc:Choice>
  </mc:AlternateContent>
  <xr:revisionPtr revIDLastSave="2" documentId="13_ncr:1_{433C844C-33DA-4264-9B94-B7AA89517B56}" xr6:coauthVersionLast="45" xr6:coauthVersionMax="45" xr10:uidLastSave="{C2C3BAEC-BC4E-4308-ABD4-29736529265F}"/>
  <bookViews>
    <workbookView xWindow="-120" yWindow="-120" windowWidth="19440" windowHeight="15000" tabRatio="897" activeTab="2" xr2:uid="{00000000-000D-0000-FFFF-FFFF00000000}"/>
  </bookViews>
  <sheets>
    <sheet name="TOTAL" sheetId="5" r:id="rId1"/>
    <sheet name="INGRESOS" sheetId="4" r:id="rId2"/>
    <sheet name="GASTOS MAS INVERSIONES" sheetId="7" r:id="rId3"/>
    <sheet name="Listas" sheetId="8" state="hidden" r:id="rId4"/>
    <sheet name="PUC" sheetId="11" state="hidden" r:id="rId5"/>
    <sheet name="Total Presupuesto" sheetId="12" r:id="rId6"/>
    <sheet name="Informe de compatibilidad" sheetId="9" state="hidden" r:id="rId7"/>
  </sheets>
  <externalReferences>
    <externalReference r:id="rId8"/>
  </externalReferences>
  <definedNames>
    <definedName name="CBWorkbookPriority" hidden="1">-1824697523</definedName>
    <definedName name="GtosInves">PUC!$B$3:$B$112</definedName>
    <definedName name="GtosNoOper">PUC!$B$115:$B$145</definedName>
    <definedName name="GtosPos">PUC!$B$148:$B$261</definedName>
    <definedName name="GtosPre">PUC!$B$264:$B$379</definedName>
    <definedName name="InverExt">PUC!$B$491:$B$506</definedName>
    <definedName name="InverInvest">PUC!$B$434:$B$450</definedName>
    <definedName name="InverPos">PUC!$B$453:$B$468</definedName>
    <definedName name="InverPre">PUC!$B$472:$B$487</definedName>
    <definedName name="Inversiones">PUC!$B$382:$B$430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E302" i="7" l="1"/>
  <c r="AE169" i="7" l="1"/>
  <c r="AE176" i="7"/>
  <c r="N139" i="7" l="1"/>
  <c r="AE175" i="7" l="1"/>
  <c r="AE170" i="7"/>
  <c r="AE376" i="7" l="1"/>
  <c r="AE381" i="7"/>
  <c r="AE378" i="7"/>
  <c r="AE373" i="7"/>
  <c r="AE380" i="7"/>
  <c r="AE375" i="7"/>
  <c r="AE174" i="7" l="1"/>
  <c r="F18" i="4" l="1"/>
  <c r="F19" i="4"/>
  <c r="F20" i="4"/>
  <c r="F17" i="4"/>
  <c r="E103" i="4" l="1"/>
  <c r="B18" i="7"/>
  <c r="B19" i="7"/>
  <c r="H18" i="7"/>
  <c r="H19" i="7"/>
  <c r="N15" i="7"/>
  <c r="N20" i="7"/>
  <c r="N21" i="7"/>
  <c r="N22" i="7"/>
  <c r="N23" i="7"/>
  <c r="N24" i="7"/>
  <c r="N25" i="7"/>
  <c r="N26" i="7"/>
  <c r="N27" i="7"/>
  <c r="N28" i="7"/>
  <c r="N29" i="7"/>
  <c r="N30" i="7"/>
  <c r="N31" i="7"/>
  <c r="N32" i="7"/>
  <c r="N33" i="7"/>
  <c r="N34" i="7"/>
  <c r="N35" i="7"/>
  <c r="N36" i="7"/>
  <c r="N37" i="7"/>
  <c r="N41" i="7"/>
  <c r="N42" i="7"/>
  <c r="N44" i="7"/>
  <c r="N45" i="7"/>
  <c r="N46" i="7"/>
  <c r="N47" i="7"/>
  <c r="N48" i="7"/>
  <c r="N49" i="7"/>
  <c r="N50" i="7"/>
  <c r="N51" i="7"/>
  <c r="N52" i="7"/>
  <c r="N53" i="7"/>
  <c r="N54" i="7"/>
  <c r="N55" i="7"/>
  <c r="N56" i="7"/>
  <c r="N57" i="7"/>
  <c r="N58" i="7"/>
  <c r="N59" i="7"/>
  <c r="N60" i="7"/>
  <c r="N61" i="7"/>
  <c r="N62" i="7"/>
  <c r="N63" i="7"/>
  <c r="N64" i="7"/>
  <c r="N65" i="7"/>
  <c r="N66" i="7"/>
  <c r="N67" i="7"/>
  <c r="N68" i="7"/>
  <c r="N69" i="7"/>
  <c r="N70" i="7"/>
  <c r="N71" i="7"/>
  <c r="N72" i="7"/>
  <c r="N73" i="7"/>
  <c r="N74" i="7"/>
  <c r="N75" i="7"/>
  <c r="N76" i="7"/>
  <c r="N77" i="7"/>
  <c r="N78" i="7"/>
  <c r="N80" i="7"/>
  <c r="N81" i="7"/>
  <c r="N82" i="7"/>
  <c r="N83" i="7"/>
  <c r="N84" i="7"/>
  <c r="N85" i="7"/>
  <c r="N86" i="7"/>
  <c r="N87" i="7"/>
  <c r="N88" i="7"/>
  <c r="N89" i="7"/>
  <c r="N90" i="7"/>
  <c r="N91" i="7"/>
  <c r="N93" i="7"/>
  <c r="N94" i="7"/>
  <c r="N95" i="7"/>
  <c r="N96" i="7"/>
  <c r="N97" i="7"/>
  <c r="N98" i="7"/>
  <c r="N99" i="7"/>
  <c r="N100" i="7"/>
  <c r="N101" i="7"/>
  <c r="N102" i="7"/>
  <c r="N103" i="7"/>
  <c r="N104" i="7"/>
  <c r="N105" i="7"/>
  <c r="N106" i="7"/>
  <c r="N107" i="7"/>
  <c r="N108" i="7"/>
  <c r="N109" i="7"/>
  <c r="N110" i="7"/>
  <c r="N111" i="7"/>
  <c r="N112" i="7"/>
  <c r="N113" i="7"/>
  <c r="N114" i="7"/>
  <c r="N115" i="7"/>
  <c r="N116" i="7"/>
  <c r="N117" i="7"/>
  <c r="N118" i="7"/>
  <c r="N119" i="7"/>
  <c r="N120" i="7"/>
  <c r="N121" i="7"/>
  <c r="N122" i="7"/>
  <c r="N123" i="7"/>
  <c r="N124" i="7"/>
  <c r="N125" i="7"/>
  <c r="N126" i="7"/>
  <c r="N128" i="7"/>
  <c r="N129" i="7"/>
  <c r="N130" i="7"/>
  <c r="N131" i="7"/>
  <c r="N132" i="7"/>
  <c r="N133" i="7"/>
  <c r="N134" i="7"/>
  <c r="N135" i="7"/>
  <c r="N136" i="7"/>
  <c r="N137" i="7"/>
  <c r="N138" i="7"/>
  <c r="N142" i="7"/>
  <c r="N143" i="7"/>
  <c r="N144" i="7"/>
  <c r="N145" i="7"/>
  <c r="N146" i="7"/>
  <c r="N147" i="7"/>
  <c r="N148" i="7"/>
  <c r="N149" i="7"/>
  <c r="N150" i="7"/>
  <c r="N151" i="7"/>
  <c r="N152" i="7"/>
  <c r="N153" i="7"/>
  <c r="N154" i="7"/>
  <c r="N155" i="7"/>
  <c r="N156" i="7"/>
  <c r="N157" i="7"/>
  <c r="N158" i="7"/>
  <c r="N159" i="7"/>
  <c r="N160" i="7"/>
  <c r="N161" i="7"/>
  <c r="N162" i="7"/>
  <c r="N163" i="7"/>
  <c r="N164" i="7"/>
  <c r="N165" i="7"/>
  <c r="N166" i="7"/>
  <c r="N167" i="7"/>
  <c r="N172" i="7"/>
  <c r="N177" i="7"/>
  <c r="N181" i="7"/>
  <c r="N185" i="7"/>
  <c r="N186" i="7"/>
  <c r="N187" i="7"/>
  <c r="N188" i="7"/>
  <c r="N189" i="7"/>
  <c r="N190" i="7"/>
  <c r="N191" i="7"/>
  <c r="N192" i="7"/>
  <c r="N193" i="7"/>
  <c r="N194" i="7"/>
  <c r="N196" i="7"/>
  <c r="N197" i="7"/>
  <c r="N198" i="7"/>
  <c r="N199" i="7"/>
  <c r="N200" i="7"/>
  <c r="N201" i="7"/>
  <c r="N202" i="7"/>
  <c r="N203" i="7"/>
  <c r="N204" i="7"/>
  <c r="N205" i="7"/>
  <c r="N206" i="7"/>
  <c r="N207" i="7"/>
  <c r="N208" i="7"/>
  <c r="N209" i="7"/>
  <c r="N210" i="7"/>
  <c r="N211" i="7"/>
  <c r="N212" i="7"/>
  <c r="N213" i="7"/>
  <c r="N214" i="7"/>
  <c r="N215" i="7"/>
  <c r="N216" i="7"/>
  <c r="N217" i="7"/>
  <c r="N218" i="7"/>
  <c r="N219" i="7"/>
  <c r="N220" i="7"/>
  <c r="N221" i="7"/>
  <c r="N222" i="7"/>
  <c r="N223" i="7"/>
  <c r="N224" i="7"/>
  <c r="N225" i="7"/>
  <c r="N226" i="7"/>
  <c r="N227" i="7"/>
  <c r="N228" i="7"/>
  <c r="N229" i="7"/>
  <c r="N230" i="7"/>
  <c r="N231" i="7"/>
  <c r="N232" i="7"/>
  <c r="N233" i="7"/>
  <c r="N234" i="7"/>
  <c r="N235" i="7"/>
  <c r="N236" i="7"/>
  <c r="N237" i="7"/>
  <c r="N238" i="7"/>
  <c r="N239" i="7"/>
  <c r="N240" i="7"/>
  <c r="N241" i="7"/>
  <c r="N242" i="7"/>
  <c r="N243" i="7"/>
  <c r="N244" i="7"/>
  <c r="N245" i="7"/>
  <c r="N246" i="7"/>
  <c r="N247" i="7"/>
  <c r="N248" i="7"/>
  <c r="N249" i="7"/>
  <c r="N250" i="7"/>
  <c r="N251" i="7"/>
  <c r="N261" i="7"/>
  <c r="N262" i="7"/>
  <c r="N263" i="7"/>
  <c r="N265" i="7"/>
  <c r="N266" i="7"/>
  <c r="N267" i="7"/>
  <c r="N268" i="7"/>
  <c r="N269" i="7"/>
  <c r="N270" i="7"/>
  <c r="N271" i="7"/>
  <c r="N272" i="7"/>
  <c r="N273" i="7"/>
  <c r="N274" i="7"/>
  <c r="N275" i="7"/>
  <c r="N276" i="7"/>
  <c r="N277" i="7"/>
  <c r="N278" i="7"/>
  <c r="N279" i="7"/>
  <c r="N280" i="7"/>
  <c r="N281" i="7"/>
  <c r="N282" i="7"/>
  <c r="N283" i="7"/>
  <c r="N284" i="7"/>
  <c r="N285" i="7"/>
  <c r="N286" i="7"/>
  <c r="N287" i="7"/>
  <c r="N288" i="7"/>
  <c r="N289" i="7"/>
  <c r="N290" i="7"/>
  <c r="N291" i="7"/>
  <c r="N292" i="7"/>
  <c r="N293" i="7"/>
  <c r="N294" i="7"/>
  <c r="N295" i="7"/>
  <c r="N296" i="7"/>
  <c r="N297" i="7"/>
  <c r="N298" i="7"/>
  <c r="N299" i="7"/>
  <c r="N300" i="7"/>
  <c r="N301" i="7"/>
  <c r="N302" i="7"/>
  <c r="N303" i="7"/>
  <c r="N304" i="7"/>
  <c r="N305" i="7"/>
  <c r="N306" i="7"/>
  <c r="N307" i="7"/>
  <c r="N308" i="7"/>
  <c r="N309" i="7"/>
  <c r="N310" i="7"/>
  <c r="N311" i="7"/>
  <c r="N312" i="7"/>
  <c r="N313" i="7"/>
  <c r="N314" i="7"/>
  <c r="N315" i="7"/>
  <c r="N316" i="7"/>
  <c r="N317" i="7"/>
  <c r="N318" i="7"/>
  <c r="N319" i="7"/>
  <c r="N320" i="7"/>
  <c r="N321" i="7"/>
  <c r="N322" i="7"/>
  <c r="N323" i="7"/>
  <c r="N324" i="7"/>
  <c r="N325" i="7"/>
  <c r="N326" i="7"/>
  <c r="N327" i="7"/>
  <c r="N328" i="7"/>
  <c r="N329" i="7"/>
  <c r="N330" i="7"/>
  <c r="N331" i="7"/>
  <c r="N332" i="7"/>
  <c r="N333" i="7"/>
  <c r="N334" i="7"/>
  <c r="N335" i="7"/>
  <c r="N336" i="7"/>
  <c r="N337" i="7"/>
  <c r="N338" i="7"/>
  <c r="N339" i="7"/>
  <c r="N340" i="7"/>
  <c r="N341" i="7"/>
  <c r="N342" i="7"/>
  <c r="N343" i="7"/>
  <c r="N344" i="7"/>
  <c r="N345" i="7"/>
  <c r="N346" i="7"/>
  <c r="N347" i="7"/>
  <c r="N348" i="7"/>
  <c r="N349" i="7"/>
  <c r="N350" i="7"/>
  <c r="N351" i="7"/>
  <c r="N352" i="7"/>
  <c r="N353" i="7"/>
  <c r="N354" i="7"/>
  <c r="N355" i="7"/>
  <c r="N356" i="7"/>
  <c r="N357" i="7"/>
  <c r="N358" i="7"/>
  <c r="N359" i="7"/>
  <c r="N360" i="7"/>
  <c r="N361" i="7"/>
  <c r="N362" i="7"/>
  <c r="N363" i="7"/>
  <c r="N364" i="7"/>
  <c r="N365" i="7"/>
  <c r="N366" i="7"/>
  <c r="N367" i="7"/>
  <c r="N368" i="7"/>
  <c r="N369" i="7"/>
  <c r="N370" i="7"/>
  <c r="N371" i="7"/>
  <c r="N372" i="7"/>
  <c r="N377" i="7"/>
  <c r="N382" i="7"/>
  <c r="N383" i="7"/>
  <c r="N384" i="7"/>
  <c r="N385" i="7"/>
  <c r="N387" i="7"/>
  <c r="N388" i="7"/>
  <c r="N389" i="7"/>
  <c r="N390" i="7"/>
  <c r="N391" i="7"/>
  <c r="N392" i="7"/>
  <c r="N393" i="7"/>
  <c r="N394" i="7"/>
  <c r="N395" i="7"/>
  <c r="N396" i="7"/>
  <c r="N397" i="7"/>
  <c r="N14" i="7"/>
  <c r="AE127" i="7" l="1"/>
  <c r="N127" i="7" s="1"/>
  <c r="AE19" i="7"/>
  <c r="N19" i="7" s="1"/>
  <c r="AE18" i="7"/>
  <c r="N18" i="7" s="1"/>
  <c r="AE17" i="7"/>
  <c r="N17" i="7" s="1"/>
  <c r="AE16" i="7"/>
  <c r="N16" i="7" s="1"/>
  <c r="AE260" i="7" l="1"/>
  <c r="N260" i="7" s="1"/>
  <c r="AE259" i="7"/>
  <c r="N259" i="7" s="1"/>
  <c r="AE258" i="7"/>
  <c r="N258" i="7" s="1"/>
  <c r="AE257" i="7"/>
  <c r="N257" i="7" s="1"/>
  <c r="AE256" i="7"/>
  <c r="N256" i="7" s="1"/>
  <c r="AE255" i="7"/>
  <c r="N255" i="7" s="1"/>
  <c r="AE252" i="7"/>
  <c r="N252" i="7" s="1"/>
  <c r="AE253" i="7"/>
  <c r="N253" i="7" s="1"/>
  <c r="AE254" i="7"/>
  <c r="N254" i="7" s="1"/>
  <c r="E18" i="4" l="1"/>
  <c r="E19" i="4"/>
  <c r="E20" i="4"/>
  <c r="E17" i="4"/>
  <c r="L18" i="7" l="1"/>
  <c r="L19" i="7"/>
  <c r="J19" i="7"/>
  <c r="J18" i="7"/>
  <c r="H157" i="7" l="1"/>
  <c r="J157" i="7"/>
  <c r="L157" i="7"/>
  <c r="AE183" i="7" l="1"/>
  <c r="N183" i="7" s="1"/>
  <c r="AE184" i="7"/>
  <c r="N184" i="7" s="1"/>
  <c r="AE182" i="7"/>
  <c r="N182" i="7" s="1"/>
  <c r="AE180" i="7"/>
  <c r="N180" i="7" s="1"/>
  <c r="AE179" i="7"/>
  <c r="N179" i="7" s="1"/>
  <c r="AE178" i="7"/>
  <c r="N178" i="7" s="1"/>
  <c r="N176" i="7" l="1"/>
  <c r="N175" i="7"/>
  <c r="N174" i="7"/>
  <c r="AE173" i="7"/>
  <c r="N173" i="7" s="1"/>
  <c r="AE171" i="7"/>
  <c r="N171" i="7" s="1"/>
  <c r="N170" i="7"/>
  <c r="N169" i="7"/>
  <c r="AE168" i="7"/>
  <c r="N168" i="7" s="1"/>
  <c r="N380" i="7"/>
  <c r="N375" i="7"/>
  <c r="N378" i="7"/>
  <c r="N373" i="7"/>
  <c r="N381" i="7"/>
  <c r="AE379" i="7"/>
  <c r="N379" i="7" s="1"/>
  <c r="N376" i="7"/>
  <c r="AE374" i="7"/>
  <c r="N374" i="7" s="1"/>
  <c r="F88" i="4" l="1"/>
  <c r="F89" i="4"/>
  <c r="F90" i="4"/>
  <c r="F91" i="4"/>
  <c r="F92" i="4"/>
  <c r="F93" i="4"/>
  <c r="F94" i="4"/>
  <c r="F95" i="4"/>
  <c r="F96" i="4"/>
  <c r="F97" i="4"/>
  <c r="F98" i="4"/>
  <c r="F99" i="4"/>
  <c r="F100" i="4"/>
  <c r="F101" i="4"/>
  <c r="F102" i="4"/>
  <c r="F103" i="4"/>
  <c r="F104" i="4"/>
  <c r="F87" i="4"/>
  <c r="D16" i="4" l="1"/>
  <c r="C27" i="4"/>
  <c r="D20" i="4"/>
  <c r="D18" i="4"/>
  <c r="D19" i="4"/>
  <c r="D17" i="4"/>
  <c r="G16" i="4"/>
  <c r="B27" i="4"/>
  <c r="D27" i="4" l="1"/>
  <c r="G18" i="4" l="1"/>
  <c r="E27" i="4"/>
  <c r="G17" i="4"/>
  <c r="G20" i="4" l="1"/>
  <c r="G19" i="4"/>
  <c r="F27" i="4"/>
  <c r="G27" i="4" l="1"/>
  <c r="J17" i="4"/>
  <c r="J18" i="4"/>
  <c r="J19" i="4"/>
  <c r="J20" i="4"/>
  <c r="K16" i="4"/>
  <c r="G28" i="4" l="1"/>
  <c r="N92" i="7"/>
  <c r="J16" i="4"/>
  <c r="L16" i="4" s="1"/>
  <c r="E51" i="12"/>
  <c r="J42" i="12"/>
  <c r="B374" i="7"/>
  <c r="B375" i="7"/>
  <c r="B376" i="7"/>
  <c r="B377" i="7"/>
  <c r="B378" i="7"/>
  <c r="B379" i="7"/>
  <c r="B380" i="7"/>
  <c r="B381" i="7"/>
  <c r="B382" i="7"/>
  <c r="B383" i="7"/>
  <c r="B384" i="7"/>
  <c r="B385" i="7"/>
  <c r="B386" i="7"/>
  <c r="B387" i="7"/>
  <c r="B388" i="7"/>
  <c r="B389" i="7"/>
  <c r="B390" i="7"/>
  <c r="B391" i="7"/>
  <c r="B392" i="7"/>
  <c r="B393" i="7"/>
  <c r="B394" i="7"/>
  <c r="B395" i="7"/>
  <c r="B396" i="7"/>
  <c r="B397" i="7"/>
  <c r="B398" i="7"/>
  <c r="B399" i="7"/>
  <c r="B400" i="7"/>
  <c r="B401" i="7"/>
  <c r="B402" i="7"/>
  <c r="B404" i="7"/>
  <c r="B405" i="7"/>
  <c r="L381" i="7"/>
  <c r="J381" i="7"/>
  <c r="H381" i="7"/>
  <c r="L380" i="7"/>
  <c r="J380" i="7"/>
  <c r="H380" i="7"/>
  <c r="L379" i="7"/>
  <c r="J379" i="7"/>
  <c r="H379" i="7"/>
  <c r="L378" i="7"/>
  <c r="J378" i="7"/>
  <c r="H378" i="7"/>
  <c r="B363" i="7"/>
  <c r="B364" i="7"/>
  <c r="B365" i="7"/>
  <c r="B366" i="7"/>
  <c r="B367" i="7"/>
  <c r="B368" i="7"/>
  <c r="B369" i="7"/>
  <c r="B370" i="7"/>
  <c r="B371" i="7"/>
  <c r="H367" i="7"/>
  <c r="J367" i="7"/>
  <c r="L367" i="7"/>
  <c r="H368" i="7"/>
  <c r="J368" i="7"/>
  <c r="L368" i="7"/>
  <c r="H369" i="7"/>
  <c r="J369" i="7"/>
  <c r="L369" i="7"/>
  <c r="H370" i="7"/>
  <c r="J370" i="7"/>
  <c r="L370" i="7"/>
  <c r="H371" i="7"/>
  <c r="J371" i="7"/>
  <c r="L371" i="7"/>
  <c r="B372" i="7"/>
  <c r="H372" i="7"/>
  <c r="J372" i="7"/>
  <c r="L372" i="7"/>
  <c r="B373" i="7"/>
  <c r="H373" i="7"/>
  <c r="J373" i="7"/>
  <c r="L373" i="7"/>
  <c r="H374" i="7"/>
  <c r="J374" i="7"/>
  <c r="L374" i="7"/>
  <c r="H375" i="7"/>
  <c r="J375" i="7"/>
  <c r="L375" i="7"/>
  <c r="H376" i="7"/>
  <c r="J376" i="7"/>
  <c r="L376" i="7"/>
  <c r="H377" i="7"/>
  <c r="J377" i="7"/>
  <c r="L377" i="7"/>
  <c r="H382" i="7"/>
  <c r="J382" i="7"/>
  <c r="L382" i="7"/>
  <c r="H383" i="7"/>
  <c r="J383" i="7"/>
  <c r="L383" i="7"/>
  <c r="H384" i="7"/>
  <c r="J384" i="7"/>
  <c r="L384" i="7"/>
  <c r="H385" i="7"/>
  <c r="J385" i="7"/>
  <c r="L385" i="7"/>
  <c r="H386" i="7"/>
  <c r="J386" i="7"/>
  <c r="L386" i="7"/>
  <c r="H387" i="7"/>
  <c r="J387" i="7"/>
  <c r="L387" i="7"/>
  <c r="H388" i="7"/>
  <c r="J388" i="7"/>
  <c r="L388" i="7"/>
  <c r="H389" i="7"/>
  <c r="J389" i="7"/>
  <c r="L389" i="7"/>
  <c r="H390" i="7"/>
  <c r="J390" i="7"/>
  <c r="L390" i="7"/>
  <c r="H391" i="7"/>
  <c r="J391" i="7"/>
  <c r="L391" i="7"/>
  <c r="H392" i="7"/>
  <c r="J392" i="7"/>
  <c r="L392" i="7"/>
  <c r="H393" i="7"/>
  <c r="J393" i="7"/>
  <c r="L393" i="7"/>
  <c r="H394" i="7"/>
  <c r="J394" i="7"/>
  <c r="L394" i="7"/>
  <c r="H395" i="7"/>
  <c r="J395" i="7"/>
  <c r="L395" i="7"/>
  <c r="H396" i="7"/>
  <c r="J396" i="7"/>
  <c r="L396" i="7"/>
  <c r="H397" i="7"/>
  <c r="J397" i="7"/>
  <c r="L397" i="7"/>
  <c r="H398" i="7"/>
  <c r="J398" i="7"/>
  <c r="L398" i="7"/>
  <c r="H399" i="7"/>
  <c r="J399" i="7"/>
  <c r="L399" i="7"/>
  <c r="H400" i="7"/>
  <c r="J400" i="7"/>
  <c r="L400" i="7"/>
  <c r="H401" i="7"/>
  <c r="J401" i="7"/>
  <c r="L401" i="7"/>
  <c r="H402" i="7"/>
  <c r="J402" i="7"/>
  <c r="L402" i="7"/>
  <c r="H403" i="7"/>
  <c r="J403" i="7"/>
  <c r="L403" i="7"/>
  <c r="H404" i="7"/>
  <c r="J404" i="7"/>
  <c r="L404" i="7"/>
  <c r="H405" i="7"/>
  <c r="J405" i="7"/>
  <c r="L405" i="7"/>
  <c r="B406" i="7"/>
  <c r="H406" i="7"/>
  <c r="J406" i="7"/>
  <c r="L406" i="7"/>
  <c r="B407" i="7"/>
  <c r="H407" i="7"/>
  <c r="J407" i="7"/>
  <c r="L407" i="7"/>
  <c r="B408" i="7"/>
  <c r="H408" i="7"/>
  <c r="J408" i="7"/>
  <c r="L408" i="7"/>
  <c r="B409" i="7"/>
  <c r="H409" i="7"/>
  <c r="J409" i="7"/>
  <c r="L409" i="7"/>
  <c r="B410" i="7"/>
  <c r="H410" i="7"/>
  <c r="J410" i="7"/>
  <c r="L410" i="7"/>
  <c r="B411" i="7"/>
  <c r="H411" i="7"/>
  <c r="J411" i="7"/>
  <c r="L411" i="7"/>
  <c r="B412" i="7"/>
  <c r="H412" i="7"/>
  <c r="J412" i="7"/>
  <c r="L412" i="7"/>
  <c r="B413" i="7"/>
  <c r="H413" i="7"/>
  <c r="J413" i="7"/>
  <c r="L413" i="7"/>
  <c r="B414" i="7"/>
  <c r="H414" i="7"/>
  <c r="J414" i="7"/>
  <c r="L414" i="7"/>
  <c r="B415" i="7"/>
  <c r="H415" i="7"/>
  <c r="J415" i="7"/>
  <c r="L415" i="7"/>
  <c r="B416" i="7"/>
  <c r="H416" i="7"/>
  <c r="J416" i="7"/>
  <c r="L416" i="7"/>
  <c r="B417" i="7"/>
  <c r="H417" i="7"/>
  <c r="J417" i="7"/>
  <c r="L417" i="7"/>
  <c r="B418" i="7"/>
  <c r="H418" i="7"/>
  <c r="J418" i="7"/>
  <c r="L418" i="7"/>
  <c r="B419" i="7"/>
  <c r="H419" i="7"/>
  <c r="J419" i="7"/>
  <c r="L419" i="7"/>
  <c r="B420" i="7"/>
  <c r="H420" i="7"/>
  <c r="J420" i="7"/>
  <c r="L420" i="7"/>
  <c r="B421" i="7"/>
  <c r="H421" i="7"/>
  <c r="J421" i="7"/>
  <c r="L421" i="7"/>
  <c r="B422" i="7"/>
  <c r="H422" i="7"/>
  <c r="J422" i="7"/>
  <c r="L422" i="7"/>
  <c r="B423" i="7"/>
  <c r="H423" i="7"/>
  <c r="J423" i="7"/>
  <c r="L423" i="7"/>
  <c r="B424" i="7"/>
  <c r="H424" i="7"/>
  <c r="J424" i="7"/>
  <c r="L424" i="7"/>
  <c r="B425" i="7"/>
  <c r="H425" i="7"/>
  <c r="J425" i="7"/>
  <c r="L425" i="7"/>
  <c r="B426" i="7"/>
  <c r="H426" i="7"/>
  <c r="J426" i="7"/>
  <c r="L426" i="7"/>
  <c r="H363" i="7"/>
  <c r="J363" i="7"/>
  <c r="L363" i="7"/>
  <c r="H364" i="7"/>
  <c r="J364" i="7"/>
  <c r="L364" i="7"/>
  <c r="H365" i="7"/>
  <c r="J365" i="7"/>
  <c r="L365" i="7"/>
  <c r="H366" i="7"/>
  <c r="J366" i="7"/>
  <c r="L366" i="7"/>
  <c r="B358" i="7"/>
  <c r="L354" i="7"/>
  <c r="L355" i="7"/>
  <c r="L356" i="7"/>
  <c r="L357" i="7"/>
  <c r="L358" i="7"/>
  <c r="B341" i="7"/>
  <c r="B342" i="7"/>
  <c r="B343" i="7"/>
  <c r="B344" i="7"/>
  <c r="B345" i="7"/>
  <c r="B346" i="7"/>
  <c r="B347" i="7"/>
  <c r="B348" i="7"/>
  <c r="B349" i="7"/>
  <c r="B350" i="7"/>
  <c r="B351" i="7"/>
  <c r="B352" i="7"/>
  <c r="B353" i="7"/>
  <c r="B354" i="7"/>
  <c r="B355" i="7"/>
  <c r="B356" i="7"/>
  <c r="B357" i="7"/>
  <c r="B320" i="7"/>
  <c r="B301" i="7"/>
  <c r="B302" i="7"/>
  <c r="B303" i="7"/>
  <c r="B304" i="7"/>
  <c r="B305" i="7"/>
  <c r="B306" i="7"/>
  <c r="B307" i="7"/>
  <c r="B308" i="7"/>
  <c r="B309" i="7"/>
  <c r="B310" i="7"/>
  <c r="B311" i="7"/>
  <c r="B312" i="7"/>
  <c r="B313" i="7"/>
  <c r="B314" i="7"/>
  <c r="B315" i="7"/>
  <c r="B316" i="7"/>
  <c r="B317" i="7"/>
  <c r="B318" i="7"/>
  <c r="B319" i="7"/>
  <c r="L313" i="7"/>
  <c r="J313" i="7"/>
  <c r="H313" i="7"/>
  <c r="L312" i="7"/>
  <c r="J312" i="7"/>
  <c r="H312" i="7"/>
  <c r="L311" i="7"/>
  <c r="J311" i="7"/>
  <c r="H311" i="7"/>
  <c r="L310" i="7"/>
  <c r="J310" i="7"/>
  <c r="H310" i="7"/>
  <c r="L309" i="7"/>
  <c r="J309" i="7"/>
  <c r="H309" i="7"/>
  <c r="L308" i="7"/>
  <c r="J308" i="7"/>
  <c r="H308" i="7"/>
  <c r="L307" i="7"/>
  <c r="J307" i="7"/>
  <c r="H307" i="7"/>
  <c r="L306" i="7"/>
  <c r="J306" i="7"/>
  <c r="H306" i="7"/>
  <c r="L305" i="7"/>
  <c r="J305" i="7"/>
  <c r="H305" i="7"/>
  <c r="B300" i="7"/>
  <c r="B299" i="7"/>
  <c r="B298" i="7"/>
  <c r="B297" i="7"/>
  <c r="B296" i="7"/>
  <c r="B295" i="7"/>
  <c r="B294" i="7"/>
  <c r="B293" i="7"/>
  <c r="H284" i="7"/>
  <c r="J284" i="7"/>
  <c r="L284" i="7"/>
  <c r="H285" i="7"/>
  <c r="J285" i="7"/>
  <c r="L285" i="7"/>
  <c r="H286" i="7"/>
  <c r="J286" i="7"/>
  <c r="L286" i="7"/>
  <c r="H287" i="7"/>
  <c r="J287" i="7"/>
  <c r="L287" i="7"/>
  <c r="H288" i="7"/>
  <c r="J288" i="7"/>
  <c r="L288" i="7"/>
  <c r="H289" i="7"/>
  <c r="J289" i="7"/>
  <c r="L289" i="7"/>
  <c r="H290" i="7"/>
  <c r="J290" i="7"/>
  <c r="L290" i="7"/>
  <c r="H291" i="7"/>
  <c r="J291" i="7"/>
  <c r="L291" i="7"/>
  <c r="H292" i="7"/>
  <c r="J292" i="7"/>
  <c r="L292" i="7"/>
  <c r="H293" i="7"/>
  <c r="J293" i="7"/>
  <c r="L293" i="7"/>
  <c r="H294" i="7"/>
  <c r="J294" i="7"/>
  <c r="L294" i="7"/>
  <c r="H295" i="7"/>
  <c r="J295" i="7"/>
  <c r="L295" i="7"/>
  <c r="H296" i="7"/>
  <c r="J296" i="7"/>
  <c r="L296" i="7"/>
  <c r="H297" i="7"/>
  <c r="J297" i="7"/>
  <c r="L297" i="7"/>
  <c r="H298" i="7"/>
  <c r="J298" i="7"/>
  <c r="L298" i="7"/>
  <c r="H299" i="7"/>
  <c r="J299" i="7"/>
  <c r="L299" i="7"/>
  <c r="H300" i="7"/>
  <c r="J300" i="7"/>
  <c r="L300" i="7"/>
  <c r="H301" i="7"/>
  <c r="J301" i="7"/>
  <c r="L301" i="7"/>
  <c r="H302" i="7"/>
  <c r="J302" i="7"/>
  <c r="L302" i="7"/>
  <c r="H303" i="7"/>
  <c r="J303" i="7"/>
  <c r="L303" i="7"/>
  <c r="H304" i="7"/>
  <c r="J304" i="7"/>
  <c r="L304" i="7"/>
  <c r="H314" i="7"/>
  <c r="J314" i="7"/>
  <c r="L314" i="7"/>
  <c r="H315" i="7"/>
  <c r="J315" i="7"/>
  <c r="L315" i="7"/>
  <c r="H316" i="7"/>
  <c r="J316" i="7"/>
  <c r="L316" i="7"/>
  <c r="H317" i="7"/>
  <c r="J317" i="7"/>
  <c r="L317" i="7"/>
  <c r="H318" i="7"/>
  <c r="J318" i="7"/>
  <c r="L318" i="7"/>
  <c r="H319" i="7"/>
  <c r="J319" i="7"/>
  <c r="L319" i="7"/>
  <c r="H320" i="7"/>
  <c r="J320" i="7"/>
  <c r="L320" i="7"/>
  <c r="H321" i="7"/>
  <c r="J321" i="7"/>
  <c r="L321" i="7"/>
  <c r="H322" i="7"/>
  <c r="J322" i="7"/>
  <c r="L322" i="7"/>
  <c r="H323" i="7"/>
  <c r="J323" i="7"/>
  <c r="L323" i="7"/>
  <c r="H324" i="7"/>
  <c r="J324" i="7"/>
  <c r="L324" i="7"/>
  <c r="H325" i="7"/>
  <c r="J325" i="7"/>
  <c r="L325" i="7"/>
  <c r="H326" i="7"/>
  <c r="J326" i="7"/>
  <c r="L326" i="7"/>
  <c r="H327" i="7"/>
  <c r="J327" i="7"/>
  <c r="L327" i="7"/>
  <c r="H328" i="7"/>
  <c r="J328" i="7"/>
  <c r="L328" i="7"/>
  <c r="H329" i="7"/>
  <c r="J329" i="7"/>
  <c r="L329" i="7"/>
  <c r="H330" i="7"/>
  <c r="J330" i="7"/>
  <c r="L330" i="7"/>
  <c r="H331" i="7"/>
  <c r="J331" i="7"/>
  <c r="L331" i="7"/>
  <c r="H332" i="7"/>
  <c r="J332" i="7"/>
  <c r="L332" i="7"/>
  <c r="H333" i="7"/>
  <c r="J333" i="7"/>
  <c r="L333" i="7"/>
  <c r="H334" i="7"/>
  <c r="J334" i="7"/>
  <c r="L334" i="7"/>
  <c r="H335" i="7"/>
  <c r="J335" i="7"/>
  <c r="L335" i="7"/>
  <c r="H336" i="7"/>
  <c r="J336" i="7"/>
  <c r="L336" i="7"/>
  <c r="H337" i="7"/>
  <c r="J337" i="7"/>
  <c r="L337" i="7"/>
  <c r="H338" i="7"/>
  <c r="J338" i="7"/>
  <c r="L338" i="7"/>
  <c r="H339" i="7"/>
  <c r="J339" i="7"/>
  <c r="L339" i="7"/>
  <c r="H340" i="7"/>
  <c r="J340" i="7"/>
  <c r="L340" i="7"/>
  <c r="H341" i="7"/>
  <c r="J341" i="7"/>
  <c r="L341" i="7"/>
  <c r="H342" i="7"/>
  <c r="J342" i="7"/>
  <c r="L342" i="7"/>
  <c r="H343" i="7"/>
  <c r="J343" i="7"/>
  <c r="L343" i="7"/>
  <c r="H344" i="7"/>
  <c r="J344" i="7"/>
  <c r="L344" i="7"/>
  <c r="H345" i="7"/>
  <c r="J345" i="7"/>
  <c r="L345" i="7"/>
  <c r="H346" i="7"/>
  <c r="J346" i="7"/>
  <c r="L346" i="7"/>
  <c r="H347" i="7"/>
  <c r="J347" i="7"/>
  <c r="L347" i="7"/>
  <c r="H348" i="7"/>
  <c r="J348" i="7"/>
  <c r="L348" i="7"/>
  <c r="H349" i="7"/>
  <c r="J349" i="7"/>
  <c r="L349" i="7"/>
  <c r="H350" i="7"/>
  <c r="J350" i="7"/>
  <c r="L350" i="7"/>
  <c r="H351" i="7"/>
  <c r="J351" i="7"/>
  <c r="L351" i="7"/>
  <c r="H352" i="7"/>
  <c r="J352" i="7"/>
  <c r="L352" i="7"/>
  <c r="H353" i="7"/>
  <c r="J353" i="7"/>
  <c r="L353" i="7"/>
  <c r="H354" i="7"/>
  <c r="J354" i="7"/>
  <c r="H355" i="7"/>
  <c r="J355" i="7"/>
  <c r="H356" i="7"/>
  <c r="J356" i="7"/>
  <c r="H357" i="7"/>
  <c r="J357" i="7"/>
  <c r="H358" i="7"/>
  <c r="J358" i="7"/>
  <c r="H359" i="7"/>
  <c r="J359" i="7"/>
  <c r="L359" i="7"/>
  <c r="H360" i="7"/>
  <c r="J360" i="7"/>
  <c r="L360" i="7"/>
  <c r="H361" i="7"/>
  <c r="J361" i="7"/>
  <c r="L361" i="7"/>
  <c r="H362" i="7"/>
  <c r="J362" i="7"/>
  <c r="L362" i="7"/>
  <c r="L283" i="7"/>
  <c r="J283" i="7"/>
  <c r="H283" i="7"/>
  <c r="L282" i="7"/>
  <c r="J282" i="7"/>
  <c r="H282" i="7"/>
  <c r="L240" i="7"/>
  <c r="L241" i="7"/>
  <c r="L242" i="7"/>
  <c r="L243" i="7"/>
  <c r="L244" i="7"/>
  <c r="L245" i="7"/>
  <c r="L246" i="7"/>
  <c r="L247" i="7"/>
  <c r="L248" i="7"/>
  <c r="L249" i="7"/>
  <c r="L250" i="7"/>
  <c r="H271" i="7"/>
  <c r="J271" i="7"/>
  <c r="L271" i="7"/>
  <c r="H272" i="7"/>
  <c r="J272" i="7"/>
  <c r="L272" i="7"/>
  <c r="H273" i="7"/>
  <c r="J273" i="7"/>
  <c r="L273" i="7"/>
  <c r="H274" i="7"/>
  <c r="J274" i="7"/>
  <c r="L274" i="7"/>
  <c r="H275" i="7"/>
  <c r="J275" i="7"/>
  <c r="L275" i="7"/>
  <c r="H276" i="7"/>
  <c r="J276" i="7"/>
  <c r="L276" i="7"/>
  <c r="H277" i="7"/>
  <c r="J277" i="7"/>
  <c r="L277" i="7"/>
  <c r="H278" i="7"/>
  <c r="J278" i="7"/>
  <c r="L278" i="7"/>
  <c r="H279" i="7"/>
  <c r="J279" i="7"/>
  <c r="L279" i="7"/>
  <c r="H280" i="7"/>
  <c r="J280" i="7"/>
  <c r="L280" i="7"/>
  <c r="H281" i="7"/>
  <c r="J281" i="7"/>
  <c r="L281" i="7"/>
  <c r="B261" i="7"/>
  <c r="B262" i="7"/>
  <c r="B263" i="7"/>
  <c r="B264" i="7"/>
  <c r="B265" i="7"/>
  <c r="B266" i="7"/>
  <c r="B267" i="7"/>
  <c r="B268" i="7"/>
  <c r="B269" i="7"/>
  <c r="B270" i="7"/>
  <c r="B271" i="7"/>
  <c r="B272" i="7"/>
  <c r="B273" i="7"/>
  <c r="B274" i="7"/>
  <c r="B275" i="7"/>
  <c r="B276" i="7"/>
  <c r="B277" i="7"/>
  <c r="B278" i="7"/>
  <c r="B279" i="7"/>
  <c r="B280" i="7"/>
  <c r="B281" i="7"/>
  <c r="L270" i="7"/>
  <c r="J270" i="7"/>
  <c r="L269" i="7"/>
  <c r="J269" i="7"/>
  <c r="L268" i="7"/>
  <c r="J268" i="7"/>
  <c r="L267" i="7"/>
  <c r="J267" i="7"/>
  <c r="L266" i="7"/>
  <c r="J266" i="7"/>
  <c r="L265" i="7"/>
  <c r="J265" i="7"/>
  <c r="L264" i="7"/>
  <c r="J264" i="7"/>
  <c r="L263" i="7"/>
  <c r="J263" i="7"/>
  <c r="L262" i="7"/>
  <c r="J262" i="7"/>
  <c r="L261" i="7"/>
  <c r="J261" i="7"/>
  <c r="H270" i="7"/>
  <c r="H269" i="7"/>
  <c r="H268" i="7"/>
  <c r="H267" i="7"/>
  <c r="H266" i="7"/>
  <c r="H265" i="7"/>
  <c r="H264" i="7"/>
  <c r="H263" i="7"/>
  <c r="H262" i="7"/>
  <c r="H261" i="7"/>
  <c r="L260" i="7"/>
  <c r="J260" i="7"/>
  <c r="H260" i="7"/>
  <c r="L259" i="7"/>
  <c r="J259" i="7"/>
  <c r="H259" i="7"/>
  <c r="L258" i="7"/>
  <c r="J258" i="7"/>
  <c r="H258" i="7"/>
  <c r="L257" i="7"/>
  <c r="J257" i="7"/>
  <c r="H257" i="7"/>
  <c r="L256" i="7"/>
  <c r="J256" i="7"/>
  <c r="H256" i="7"/>
  <c r="L255" i="7"/>
  <c r="J255" i="7"/>
  <c r="H255" i="7"/>
  <c r="B253" i="7"/>
  <c r="B254" i="7"/>
  <c r="B255" i="7"/>
  <c r="B256" i="7"/>
  <c r="B257" i="7"/>
  <c r="B258" i="7"/>
  <c r="B259" i="7"/>
  <c r="B260" i="7"/>
  <c r="L254" i="7"/>
  <c r="J254" i="7"/>
  <c r="H254" i="7"/>
  <c r="L253" i="7"/>
  <c r="J253" i="7"/>
  <c r="H253" i="7"/>
  <c r="L252" i="7"/>
  <c r="J252" i="7"/>
  <c r="H252" i="7"/>
  <c r="L251" i="7"/>
  <c r="J251" i="7"/>
  <c r="H251" i="7"/>
  <c r="B241" i="7"/>
  <c r="B242" i="7"/>
  <c r="B243" i="7"/>
  <c r="B244" i="7"/>
  <c r="B245" i="7"/>
  <c r="B246" i="7"/>
  <c r="B247" i="7"/>
  <c r="B248" i="7"/>
  <c r="B249" i="7"/>
  <c r="B250" i="7"/>
  <c r="B231" i="7"/>
  <c r="B232" i="7"/>
  <c r="B233" i="7"/>
  <c r="B234" i="7"/>
  <c r="B235" i="7"/>
  <c r="B236" i="7"/>
  <c r="B237" i="7"/>
  <c r="B238" i="7"/>
  <c r="B239" i="7"/>
  <c r="B240" i="7"/>
  <c r="L239" i="7"/>
  <c r="J239" i="7"/>
  <c r="H239" i="7"/>
  <c r="L238" i="7"/>
  <c r="J238" i="7"/>
  <c r="H238" i="7"/>
  <c r="L237" i="7"/>
  <c r="J237" i="7"/>
  <c r="H237" i="7"/>
  <c r="L236" i="7"/>
  <c r="J236" i="7"/>
  <c r="H236" i="7"/>
  <c r="L235" i="7"/>
  <c r="J235" i="7"/>
  <c r="H235" i="7"/>
  <c r="L234" i="7"/>
  <c r="J234" i="7"/>
  <c r="H234" i="7"/>
  <c r="L233" i="7"/>
  <c r="J233" i="7"/>
  <c r="H233" i="7"/>
  <c r="L232" i="7"/>
  <c r="J232" i="7"/>
  <c r="H232" i="7"/>
  <c r="L231" i="7"/>
  <c r="J231" i="7"/>
  <c r="H231" i="7"/>
  <c r="L230" i="7"/>
  <c r="J230" i="7"/>
  <c r="H230" i="7"/>
  <c r="L229" i="7"/>
  <c r="J229" i="7"/>
  <c r="H229" i="7"/>
  <c r="L228" i="7"/>
  <c r="J228" i="7"/>
  <c r="H228" i="7"/>
  <c r="L227" i="7"/>
  <c r="J227" i="7"/>
  <c r="H227" i="7"/>
  <c r="L226" i="7"/>
  <c r="J226" i="7"/>
  <c r="H226" i="7"/>
  <c r="L225" i="7"/>
  <c r="J225" i="7"/>
  <c r="H225" i="7"/>
  <c r="L224" i="7"/>
  <c r="J224" i="7"/>
  <c r="H224" i="7"/>
  <c r="L223" i="7"/>
  <c r="J223" i="7"/>
  <c r="H223" i="7"/>
  <c r="L222" i="7"/>
  <c r="J222" i="7"/>
  <c r="H222" i="7"/>
  <c r="L221" i="7"/>
  <c r="J221" i="7"/>
  <c r="H221" i="7"/>
  <c r="L220" i="7"/>
  <c r="J220" i="7"/>
  <c r="H220" i="7"/>
  <c r="L219" i="7"/>
  <c r="J219" i="7"/>
  <c r="H219" i="7"/>
  <c r="L218" i="7"/>
  <c r="J218" i="7"/>
  <c r="H218" i="7"/>
  <c r="L217" i="7"/>
  <c r="J217" i="7"/>
  <c r="H217" i="7"/>
  <c r="L216" i="7"/>
  <c r="J216" i="7"/>
  <c r="H216" i="7"/>
  <c r="L215" i="7"/>
  <c r="J215" i="7"/>
  <c r="H215" i="7"/>
  <c r="L214" i="7"/>
  <c r="J214" i="7"/>
  <c r="H214" i="7"/>
  <c r="L213" i="7"/>
  <c r="J213" i="7"/>
  <c r="H213" i="7"/>
  <c r="L212" i="7"/>
  <c r="J212" i="7"/>
  <c r="H212" i="7"/>
  <c r="L211" i="7"/>
  <c r="J211" i="7"/>
  <c r="H211" i="7"/>
  <c r="L210" i="7"/>
  <c r="J210" i="7"/>
  <c r="H210" i="7"/>
  <c r="L209" i="7"/>
  <c r="J209" i="7"/>
  <c r="H209" i="7"/>
  <c r="L208" i="7"/>
  <c r="J208" i="7"/>
  <c r="H208" i="7"/>
  <c r="L207" i="7"/>
  <c r="J207" i="7"/>
  <c r="H207" i="7"/>
  <c r="L206" i="7"/>
  <c r="J206" i="7"/>
  <c r="H206" i="7"/>
  <c r="L205" i="7"/>
  <c r="J205" i="7"/>
  <c r="H205" i="7"/>
  <c r="L204" i="7"/>
  <c r="J204" i="7"/>
  <c r="H204" i="7"/>
  <c r="L203" i="7"/>
  <c r="J203" i="7"/>
  <c r="H203" i="7"/>
  <c r="L202" i="7"/>
  <c r="J202" i="7"/>
  <c r="H202" i="7"/>
  <c r="L201" i="7"/>
  <c r="J201" i="7"/>
  <c r="H201" i="7"/>
  <c r="L200" i="7"/>
  <c r="J200" i="7"/>
  <c r="H200" i="7"/>
  <c r="L199" i="7"/>
  <c r="J199" i="7"/>
  <c r="H199" i="7"/>
  <c r="L198" i="7"/>
  <c r="J198" i="7"/>
  <c r="H198" i="7"/>
  <c r="L197" i="7"/>
  <c r="J197" i="7"/>
  <c r="H197" i="7"/>
  <c r="L196" i="7"/>
  <c r="J196" i="7"/>
  <c r="H196" i="7"/>
  <c r="L195" i="7"/>
  <c r="J195" i="7"/>
  <c r="H195" i="7"/>
  <c r="B221" i="7"/>
  <c r="B222" i="7"/>
  <c r="B223" i="7"/>
  <c r="B224" i="7"/>
  <c r="B225" i="7"/>
  <c r="B226" i="7"/>
  <c r="B227" i="7"/>
  <c r="B228" i="7"/>
  <c r="B229" i="7"/>
  <c r="B230" i="7"/>
  <c r="B208" i="7"/>
  <c r="B209" i="7"/>
  <c r="B210" i="7"/>
  <c r="B211" i="7"/>
  <c r="B212" i="7"/>
  <c r="B213" i="7"/>
  <c r="B214" i="7"/>
  <c r="B215" i="7"/>
  <c r="B216" i="7"/>
  <c r="B217" i="7"/>
  <c r="B218" i="7"/>
  <c r="B219" i="7"/>
  <c r="B220" i="7"/>
  <c r="B192" i="7"/>
  <c r="B193" i="7"/>
  <c r="B194" i="7"/>
  <c r="B195" i="7"/>
  <c r="B196" i="7"/>
  <c r="J192" i="7"/>
  <c r="L192" i="7"/>
  <c r="J193" i="7"/>
  <c r="L193" i="7"/>
  <c r="J194" i="7"/>
  <c r="L194" i="7"/>
  <c r="H192" i="7"/>
  <c r="H193" i="7"/>
  <c r="H194" i="7"/>
  <c r="L184" i="7"/>
  <c r="J184" i="7"/>
  <c r="H184" i="7"/>
  <c r="L183" i="7"/>
  <c r="J183" i="7"/>
  <c r="H183" i="7"/>
  <c r="L182" i="7"/>
  <c r="J182" i="7"/>
  <c r="H182" i="7"/>
  <c r="H180" i="7"/>
  <c r="J180" i="7"/>
  <c r="L180" i="7"/>
  <c r="H181" i="7"/>
  <c r="J181" i="7"/>
  <c r="L181" i="7"/>
  <c r="H185" i="7"/>
  <c r="J185" i="7"/>
  <c r="L185" i="7"/>
  <c r="B180" i="7"/>
  <c r="B181" i="7"/>
  <c r="B182" i="7"/>
  <c r="B183" i="7"/>
  <c r="L176" i="7"/>
  <c r="J176" i="7"/>
  <c r="L175" i="7"/>
  <c r="J175" i="7"/>
  <c r="L174" i="7"/>
  <c r="J174" i="7"/>
  <c r="L173" i="7"/>
  <c r="J173" i="7"/>
  <c r="H176" i="7"/>
  <c r="H175" i="7"/>
  <c r="H174" i="7"/>
  <c r="H173" i="7"/>
  <c r="B169" i="7"/>
  <c r="B170" i="7"/>
  <c r="B171" i="7"/>
  <c r="B172" i="7"/>
  <c r="B173" i="7"/>
  <c r="B174" i="7"/>
  <c r="B175" i="7"/>
  <c r="B176" i="7"/>
  <c r="B177" i="7"/>
  <c r="B178" i="7"/>
  <c r="B179" i="7"/>
  <c r="H168" i="7"/>
  <c r="J168" i="7"/>
  <c r="L168" i="7"/>
  <c r="H169" i="7"/>
  <c r="J169" i="7"/>
  <c r="L169" i="7"/>
  <c r="H170" i="7"/>
  <c r="J170" i="7"/>
  <c r="L170" i="7"/>
  <c r="H171" i="7"/>
  <c r="J171" i="7"/>
  <c r="L171" i="7"/>
  <c r="H172" i="7"/>
  <c r="J172" i="7"/>
  <c r="L172" i="7"/>
  <c r="H177" i="7"/>
  <c r="J177" i="7"/>
  <c r="L177" i="7"/>
  <c r="H178" i="7"/>
  <c r="J178" i="7"/>
  <c r="L178" i="7"/>
  <c r="H179" i="7"/>
  <c r="J179" i="7"/>
  <c r="L179" i="7"/>
  <c r="H163" i="7" l="1"/>
  <c r="J163" i="7"/>
  <c r="L163" i="7"/>
  <c r="H164" i="7"/>
  <c r="J164" i="7"/>
  <c r="L164" i="7"/>
  <c r="H165" i="7"/>
  <c r="J165" i="7"/>
  <c r="L165" i="7"/>
  <c r="H166" i="7"/>
  <c r="J166" i="7"/>
  <c r="L166" i="7"/>
  <c r="H167" i="7"/>
  <c r="J167" i="7"/>
  <c r="L167" i="7"/>
  <c r="H186" i="7"/>
  <c r="J186" i="7"/>
  <c r="L186" i="7"/>
  <c r="H187" i="7"/>
  <c r="J187" i="7"/>
  <c r="L187" i="7"/>
  <c r="H188" i="7"/>
  <c r="J188" i="7"/>
  <c r="L188" i="7"/>
  <c r="H189" i="7"/>
  <c r="J189" i="7"/>
  <c r="L189" i="7"/>
  <c r="H190" i="7"/>
  <c r="J190" i="7"/>
  <c r="L190" i="7"/>
  <c r="H191" i="7"/>
  <c r="J191" i="7"/>
  <c r="L191" i="7"/>
  <c r="AA161" i="7"/>
  <c r="H162" i="7"/>
  <c r="H161" i="7"/>
  <c r="B168" i="7"/>
  <c r="B184" i="7"/>
  <c r="B185" i="7"/>
  <c r="B186" i="7"/>
  <c r="B139" i="7" l="1"/>
  <c r="B140" i="7"/>
  <c r="B141" i="7"/>
  <c r="B142" i="7"/>
  <c r="B143" i="7"/>
  <c r="B144" i="7"/>
  <c r="B145" i="7"/>
  <c r="B146" i="7"/>
  <c r="B147" i="7"/>
  <c r="B148" i="7"/>
  <c r="B149" i="7"/>
  <c r="B150" i="7"/>
  <c r="B151" i="7"/>
  <c r="B152" i="7"/>
  <c r="B153" i="7"/>
  <c r="B154" i="7"/>
  <c r="B155" i="7"/>
  <c r="B156" i="7"/>
  <c r="B157" i="7"/>
  <c r="B158" i="7"/>
  <c r="B159" i="7"/>
  <c r="B160" i="7"/>
  <c r="B124" i="7" l="1"/>
  <c r="B125" i="7"/>
  <c r="B126" i="7"/>
  <c r="B127" i="7"/>
  <c r="B128" i="7"/>
  <c r="B129" i="7"/>
  <c r="B130" i="7"/>
  <c r="B131" i="7"/>
  <c r="H90" i="7"/>
  <c r="J90" i="7"/>
  <c r="H91" i="7"/>
  <c r="J91" i="7"/>
  <c r="H92" i="7"/>
  <c r="J92" i="7"/>
  <c r="H93" i="7"/>
  <c r="J93" i="7"/>
  <c r="B85" i="7"/>
  <c r="H85" i="7"/>
  <c r="J85" i="7"/>
  <c r="L85" i="7"/>
  <c r="B86" i="7"/>
  <c r="H86" i="7"/>
  <c r="J86" i="7"/>
  <c r="L86" i="7"/>
  <c r="B87" i="7"/>
  <c r="H87" i="7"/>
  <c r="J87" i="7"/>
  <c r="L87" i="7"/>
  <c r="B88" i="7"/>
  <c r="H88" i="7"/>
  <c r="J88" i="7"/>
  <c r="L88" i="7"/>
  <c r="B89" i="7"/>
  <c r="H89" i="7"/>
  <c r="J89" i="7"/>
  <c r="L89" i="7"/>
  <c r="B84" i="7"/>
  <c r="B73" i="7" l="1"/>
  <c r="B74" i="7"/>
  <c r="B75" i="7"/>
  <c r="B76" i="7"/>
  <c r="B77" i="7"/>
  <c r="B78" i="7"/>
  <c r="B79" i="7"/>
  <c r="B80" i="7"/>
  <c r="B81" i="7"/>
  <c r="B82" i="7"/>
  <c r="B83" i="7"/>
  <c r="B69" i="7"/>
  <c r="B70" i="7"/>
  <c r="B63" i="7"/>
  <c r="B64" i="7"/>
  <c r="B65" i="7"/>
  <c r="B66" i="7"/>
  <c r="B67" i="7"/>
  <c r="B68" i="7"/>
  <c r="B58" i="7"/>
  <c r="B59" i="7"/>
  <c r="B60" i="7"/>
  <c r="B48" i="7"/>
  <c r="B49" i="7"/>
  <c r="B50" i="7"/>
  <c r="B51" i="7"/>
  <c r="B52" i="7"/>
  <c r="B53" i="7"/>
  <c r="B54" i="7"/>
  <c r="B55" i="7"/>
  <c r="B56" i="7"/>
  <c r="B57" i="7"/>
  <c r="B27" i="7"/>
  <c r="B28" i="7"/>
  <c r="B29" i="7"/>
  <c r="B30" i="7"/>
  <c r="B31" i="7"/>
  <c r="B17" i="7"/>
  <c r="H17" i="7"/>
  <c r="J17" i="7"/>
  <c r="L17" i="7"/>
  <c r="L16" i="7"/>
  <c r="J16" i="7"/>
  <c r="H16" i="7"/>
  <c r="L15" i="7"/>
  <c r="J15" i="7"/>
  <c r="H15" i="7"/>
  <c r="H23" i="7" l="1"/>
  <c r="J23" i="7"/>
  <c r="L23" i="7"/>
  <c r="H24" i="7"/>
  <c r="J24" i="7"/>
  <c r="L24" i="7"/>
  <c r="H25" i="7"/>
  <c r="J25" i="7"/>
  <c r="L25" i="7"/>
  <c r="H26" i="7"/>
  <c r="J26" i="7"/>
  <c r="L26" i="7"/>
  <c r="H27" i="7"/>
  <c r="J27" i="7"/>
  <c r="L27" i="7"/>
  <c r="H28" i="7"/>
  <c r="J28" i="7"/>
  <c r="L28" i="7"/>
  <c r="H29" i="7"/>
  <c r="J29" i="7"/>
  <c r="L29" i="7"/>
  <c r="H30" i="7"/>
  <c r="J30" i="7"/>
  <c r="L30" i="7"/>
  <c r="H31" i="7"/>
  <c r="J31" i="7"/>
  <c r="L31" i="7"/>
  <c r="H32" i="7"/>
  <c r="J32" i="7"/>
  <c r="L32" i="7"/>
  <c r="H33" i="7"/>
  <c r="J33" i="7"/>
  <c r="L33" i="7"/>
  <c r="H34" i="7"/>
  <c r="J34" i="7"/>
  <c r="L34" i="7"/>
  <c r="H35" i="7"/>
  <c r="J35" i="7"/>
  <c r="L35" i="7"/>
  <c r="H36" i="7"/>
  <c r="J36" i="7"/>
  <c r="L36" i="7"/>
  <c r="H37" i="7"/>
  <c r="J37" i="7"/>
  <c r="L37" i="7"/>
  <c r="H38" i="7"/>
  <c r="J38" i="7"/>
  <c r="L38" i="7"/>
  <c r="H39" i="7"/>
  <c r="J39" i="7"/>
  <c r="L39" i="7"/>
  <c r="H40" i="7"/>
  <c r="J40" i="7"/>
  <c r="L40" i="7"/>
  <c r="H41" i="7"/>
  <c r="J41" i="7"/>
  <c r="L41" i="7"/>
  <c r="H42" i="7"/>
  <c r="J42" i="7"/>
  <c r="L42" i="7"/>
  <c r="H43" i="7"/>
  <c r="J43" i="7"/>
  <c r="L43" i="7"/>
  <c r="H44" i="7"/>
  <c r="J44" i="7"/>
  <c r="L44" i="7"/>
  <c r="H45" i="7"/>
  <c r="J45" i="7"/>
  <c r="L45" i="7"/>
  <c r="H46" i="7"/>
  <c r="J46" i="7"/>
  <c r="L46" i="7"/>
  <c r="H47" i="7"/>
  <c r="J47" i="7"/>
  <c r="L47" i="7"/>
  <c r="H48" i="7"/>
  <c r="J48" i="7"/>
  <c r="L48" i="7"/>
  <c r="H49" i="7"/>
  <c r="J49" i="7"/>
  <c r="L49" i="7"/>
  <c r="H50" i="7"/>
  <c r="J50" i="7"/>
  <c r="L50" i="7"/>
  <c r="H51" i="7"/>
  <c r="J51" i="7"/>
  <c r="L51" i="7"/>
  <c r="H52" i="7"/>
  <c r="J52" i="7"/>
  <c r="L52" i="7"/>
  <c r="H53" i="7"/>
  <c r="J53" i="7"/>
  <c r="L53" i="7"/>
  <c r="H54" i="7"/>
  <c r="J54" i="7"/>
  <c r="L54" i="7"/>
  <c r="H55" i="7"/>
  <c r="J55" i="7"/>
  <c r="L55" i="7"/>
  <c r="H56" i="7"/>
  <c r="J56" i="7"/>
  <c r="L56" i="7"/>
  <c r="H57" i="7"/>
  <c r="J57" i="7"/>
  <c r="L57" i="7"/>
  <c r="H58" i="7"/>
  <c r="J58" i="7"/>
  <c r="L58" i="7"/>
  <c r="H59" i="7"/>
  <c r="J59" i="7"/>
  <c r="L59" i="7"/>
  <c r="H60" i="7"/>
  <c r="J60" i="7"/>
  <c r="L60" i="7"/>
  <c r="H61" i="7"/>
  <c r="J61" i="7"/>
  <c r="L61" i="7"/>
  <c r="H62" i="7"/>
  <c r="J62" i="7"/>
  <c r="L62" i="7"/>
  <c r="H63" i="7"/>
  <c r="J63" i="7"/>
  <c r="L63" i="7"/>
  <c r="H64" i="7"/>
  <c r="J64" i="7"/>
  <c r="L64" i="7"/>
  <c r="H65" i="7"/>
  <c r="J65" i="7"/>
  <c r="L65" i="7"/>
  <c r="H66" i="7"/>
  <c r="J66" i="7"/>
  <c r="L66" i="7"/>
  <c r="H67" i="7"/>
  <c r="J67" i="7"/>
  <c r="L67" i="7"/>
  <c r="H68" i="7"/>
  <c r="J68" i="7"/>
  <c r="L68" i="7"/>
  <c r="H69" i="7"/>
  <c r="J69" i="7"/>
  <c r="L69" i="7"/>
  <c r="H70" i="7"/>
  <c r="J70" i="7"/>
  <c r="L70" i="7"/>
  <c r="H71" i="7"/>
  <c r="J71" i="7"/>
  <c r="L71" i="7"/>
  <c r="H72" i="7"/>
  <c r="J72" i="7"/>
  <c r="L72" i="7"/>
  <c r="H73" i="7"/>
  <c r="J73" i="7"/>
  <c r="L73" i="7"/>
  <c r="H74" i="7"/>
  <c r="J74" i="7"/>
  <c r="L74" i="7"/>
  <c r="H75" i="7"/>
  <c r="J75" i="7"/>
  <c r="L75" i="7"/>
  <c r="H76" i="7"/>
  <c r="J76" i="7"/>
  <c r="L76" i="7"/>
  <c r="H77" i="7"/>
  <c r="J77" i="7"/>
  <c r="L77" i="7"/>
  <c r="H78" i="7"/>
  <c r="J78" i="7"/>
  <c r="L78" i="7"/>
  <c r="H79" i="7"/>
  <c r="J79" i="7"/>
  <c r="L79" i="7"/>
  <c r="H80" i="7"/>
  <c r="J80" i="7"/>
  <c r="L80" i="7"/>
  <c r="H81" i="7"/>
  <c r="J81" i="7"/>
  <c r="L81" i="7"/>
  <c r="H82" i="7"/>
  <c r="J82" i="7"/>
  <c r="L82" i="7"/>
  <c r="H83" i="7"/>
  <c r="J83" i="7"/>
  <c r="L83" i="7"/>
  <c r="H84" i="7"/>
  <c r="J84" i="7"/>
  <c r="L84" i="7"/>
  <c r="L90" i="7"/>
  <c r="L91" i="7"/>
  <c r="L92" i="7"/>
  <c r="L93" i="7"/>
  <c r="H94" i="7"/>
  <c r="J94" i="7"/>
  <c r="L94" i="7"/>
  <c r="H95" i="7"/>
  <c r="J95" i="7"/>
  <c r="L95" i="7"/>
  <c r="H96" i="7"/>
  <c r="J96" i="7"/>
  <c r="L96" i="7"/>
  <c r="H97" i="7"/>
  <c r="J97" i="7"/>
  <c r="L97" i="7"/>
  <c r="H98" i="7"/>
  <c r="J98" i="7"/>
  <c r="L98" i="7"/>
  <c r="H99" i="7"/>
  <c r="J99" i="7"/>
  <c r="L99" i="7"/>
  <c r="H100" i="7"/>
  <c r="J100" i="7"/>
  <c r="L100" i="7"/>
  <c r="H101" i="7"/>
  <c r="J101" i="7"/>
  <c r="L101" i="7"/>
  <c r="H102" i="7"/>
  <c r="J102" i="7"/>
  <c r="L102" i="7"/>
  <c r="H103" i="7"/>
  <c r="J103" i="7"/>
  <c r="L103" i="7"/>
  <c r="H104" i="7"/>
  <c r="J104" i="7"/>
  <c r="L104" i="7"/>
  <c r="H105" i="7"/>
  <c r="J105" i="7"/>
  <c r="L105" i="7"/>
  <c r="H106" i="7"/>
  <c r="J106" i="7"/>
  <c r="L106" i="7"/>
  <c r="H107" i="7"/>
  <c r="J107" i="7"/>
  <c r="L107" i="7"/>
  <c r="H108" i="7"/>
  <c r="J108" i="7"/>
  <c r="L108" i="7"/>
  <c r="H109" i="7"/>
  <c r="J109" i="7"/>
  <c r="L109" i="7"/>
  <c r="H110" i="7"/>
  <c r="J110" i="7"/>
  <c r="L110" i="7"/>
  <c r="H111" i="7"/>
  <c r="J111" i="7"/>
  <c r="L111" i="7"/>
  <c r="H112" i="7"/>
  <c r="J112" i="7"/>
  <c r="L112" i="7"/>
  <c r="H113" i="7"/>
  <c r="J113" i="7"/>
  <c r="L113" i="7"/>
  <c r="H114" i="7"/>
  <c r="J114" i="7"/>
  <c r="L114" i="7"/>
  <c r="H115" i="7"/>
  <c r="J115" i="7"/>
  <c r="L115" i="7"/>
  <c r="H116" i="7"/>
  <c r="J116" i="7"/>
  <c r="L116" i="7"/>
  <c r="H117" i="7"/>
  <c r="J117" i="7"/>
  <c r="L117" i="7"/>
  <c r="H118" i="7"/>
  <c r="J118" i="7"/>
  <c r="L118" i="7"/>
  <c r="H119" i="7"/>
  <c r="J119" i="7"/>
  <c r="L119" i="7"/>
  <c r="H120" i="7"/>
  <c r="J120" i="7"/>
  <c r="L120" i="7"/>
  <c r="H121" i="7"/>
  <c r="J121" i="7"/>
  <c r="L121" i="7"/>
  <c r="H122" i="7"/>
  <c r="J122" i="7"/>
  <c r="L122" i="7"/>
  <c r="H123" i="7"/>
  <c r="J123" i="7"/>
  <c r="L123" i="7"/>
  <c r="H124" i="7"/>
  <c r="J124" i="7"/>
  <c r="L124" i="7"/>
  <c r="H125" i="7"/>
  <c r="J125" i="7"/>
  <c r="L125" i="7"/>
  <c r="H126" i="7"/>
  <c r="J126" i="7"/>
  <c r="L126" i="7"/>
  <c r="H127" i="7"/>
  <c r="J127" i="7"/>
  <c r="L127" i="7"/>
  <c r="H128" i="7"/>
  <c r="J128" i="7"/>
  <c r="L128" i="7"/>
  <c r="H129" i="7"/>
  <c r="J129" i="7"/>
  <c r="L129" i="7"/>
  <c r="H130" i="7"/>
  <c r="J130" i="7"/>
  <c r="L130" i="7"/>
  <c r="H131" i="7"/>
  <c r="J131" i="7"/>
  <c r="L131" i="7"/>
  <c r="H132" i="7"/>
  <c r="J132" i="7"/>
  <c r="L132" i="7"/>
  <c r="H133" i="7"/>
  <c r="J133" i="7"/>
  <c r="L133" i="7"/>
  <c r="H134" i="7"/>
  <c r="J134" i="7"/>
  <c r="L134" i="7"/>
  <c r="H135" i="7"/>
  <c r="J135" i="7"/>
  <c r="L135" i="7"/>
  <c r="H136" i="7"/>
  <c r="J136" i="7"/>
  <c r="L136" i="7"/>
  <c r="H137" i="7"/>
  <c r="J137" i="7"/>
  <c r="L137" i="7"/>
  <c r="H138" i="7"/>
  <c r="J138" i="7"/>
  <c r="L138" i="7"/>
  <c r="H139" i="7"/>
  <c r="J139" i="7"/>
  <c r="L139" i="7"/>
  <c r="H140" i="7"/>
  <c r="J140" i="7"/>
  <c r="L140" i="7"/>
  <c r="H141" i="7"/>
  <c r="J141" i="7"/>
  <c r="L141" i="7"/>
  <c r="H142" i="7"/>
  <c r="J142" i="7"/>
  <c r="L142" i="7"/>
  <c r="H143" i="7"/>
  <c r="J143" i="7"/>
  <c r="L143" i="7"/>
  <c r="H144" i="7"/>
  <c r="J144" i="7"/>
  <c r="L144" i="7"/>
  <c r="H145" i="7"/>
  <c r="J145" i="7"/>
  <c r="L145" i="7"/>
  <c r="H146" i="7"/>
  <c r="J146" i="7"/>
  <c r="L146" i="7"/>
  <c r="H147" i="7"/>
  <c r="J147" i="7"/>
  <c r="L147" i="7"/>
  <c r="H148" i="7"/>
  <c r="J148" i="7"/>
  <c r="L148" i="7"/>
  <c r="H149" i="7"/>
  <c r="J149" i="7"/>
  <c r="L149" i="7"/>
  <c r="H150" i="7"/>
  <c r="J150" i="7"/>
  <c r="L150" i="7"/>
  <c r="H151" i="7"/>
  <c r="J151" i="7"/>
  <c r="L151" i="7"/>
  <c r="H152" i="7"/>
  <c r="J152" i="7"/>
  <c r="L152" i="7"/>
  <c r="H153" i="7"/>
  <c r="J153" i="7"/>
  <c r="L153" i="7"/>
  <c r="H154" i="7"/>
  <c r="J154" i="7"/>
  <c r="L154" i="7"/>
  <c r="H155" i="7"/>
  <c r="J155" i="7"/>
  <c r="L155" i="7"/>
  <c r="H156" i="7"/>
  <c r="J156" i="7"/>
  <c r="L156" i="7"/>
  <c r="H158" i="7"/>
  <c r="J158" i="7"/>
  <c r="L158" i="7"/>
  <c r="H159" i="7"/>
  <c r="J159" i="7"/>
  <c r="L159" i="7"/>
  <c r="H160" i="7"/>
  <c r="J160" i="7"/>
  <c r="L160" i="7"/>
  <c r="J161" i="7"/>
  <c r="L161" i="7"/>
  <c r="J162" i="7"/>
  <c r="L162" i="7"/>
  <c r="J20" i="7"/>
  <c r="J21" i="7"/>
  <c r="J22" i="7"/>
  <c r="J14" i="7"/>
  <c r="H20" i="7"/>
  <c r="H21" i="7"/>
  <c r="H22" i="7"/>
  <c r="H14" i="7"/>
  <c r="L14" i="7"/>
  <c r="B15" i="7"/>
  <c r="B16" i="7"/>
  <c r="B20" i="7"/>
  <c r="B21" i="7"/>
  <c r="B22" i="7"/>
  <c r="B23" i="7"/>
  <c r="B24" i="7"/>
  <c r="B25" i="7"/>
  <c r="B26" i="7"/>
  <c r="B32" i="7"/>
  <c r="B33" i="7"/>
  <c r="B34" i="7"/>
  <c r="B35" i="7"/>
  <c r="B36" i="7"/>
  <c r="B37" i="7"/>
  <c r="B38" i="7"/>
  <c r="B39" i="7"/>
  <c r="B40" i="7"/>
  <c r="B41" i="7"/>
  <c r="B42" i="7"/>
  <c r="B43" i="7"/>
  <c r="B44" i="7"/>
  <c r="B45" i="7"/>
  <c r="B46" i="7"/>
  <c r="B47" i="7"/>
  <c r="B61" i="7"/>
  <c r="B62" i="7"/>
  <c r="B71" i="7"/>
  <c r="B72" i="7"/>
  <c r="B90" i="7"/>
  <c r="B91" i="7"/>
  <c r="B92" i="7"/>
  <c r="B93" i="7"/>
  <c r="B94" i="7"/>
  <c r="B95" i="7"/>
  <c r="B96" i="7"/>
  <c r="B97" i="7"/>
  <c r="B98" i="7"/>
  <c r="B99" i="7"/>
  <c r="B100" i="7"/>
  <c r="B101" i="7"/>
  <c r="B102" i="7"/>
  <c r="B103" i="7"/>
  <c r="B104" i="7"/>
  <c r="B105" i="7"/>
  <c r="B106" i="7"/>
  <c r="B107" i="7"/>
  <c r="B108" i="7"/>
  <c r="B109" i="7"/>
  <c r="B110" i="7"/>
  <c r="B111" i="7"/>
  <c r="B112" i="7"/>
  <c r="B113" i="7"/>
  <c r="B114" i="7"/>
  <c r="B115" i="7"/>
  <c r="B116" i="7"/>
  <c r="B117" i="7"/>
  <c r="B118" i="7"/>
  <c r="B119" i="7"/>
  <c r="B120" i="7"/>
  <c r="B121" i="7"/>
  <c r="B122" i="7"/>
  <c r="B123" i="7"/>
  <c r="B132" i="7"/>
  <c r="B133" i="7"/>
  <c r="B134" i="7"/>
  <c r="B135" i="7"/>
  <c r="B136" i="7"/>
  <c r="B137" i="7"/>
  <c r="B138" i="7"/>
  <c r="B161" i="7"/>
  <c r="B162" i="7"/>
  <c r="B163" i="7"/>
  <c r="B164" i="7"/>
  <c r="B165" i="7"/>
  <c r="B166" i="7"/>
  <c r="B167" i="7"/>
  <c r="B187" i="7"/>
  <c r="B188" i="7"/>
  <c r="B189" i="7"/>
  <c r="B190" i="7"/>
  <c r="B191" i="7"/>
  <c r="B197" i="7"/>
  <c r="B198" i="7"/>
  <c r="B199" i="7"/>
  <c r="B200" i="7"/>
  <c r="B201" i="7"/>
  <c r="B202" i="7"/>
  <c r="B203" i="7"/>
  <c r="B204" i="7"/>
  <c r="B205" i="7"/>
  <c r="B206" i="7"/>
  <c r="B207" i="7"/>
  <c r="B251" i="7"/>
  <c r="B252" i="7"/>
  <c r="B282" i="7"/>
  <c r="B283" i="7"/>
  <c r="B284" i="7"/>
  <c r="B285" i="7"/>
  <c r="B286" i="7"/>
  <c r="B287" i="7"/>
  <c r="B288" i="7"/>
  <c r="B289" i="7"/>
  <c r="B290" i="7"/>
  <c r="B291" i="7"/>
  <c r="B292" i="7"/>
  <c r="B321" i="7"/>
  <c r="B322" i="7"/>
  <c r="B323" i="7"/>
  <c r="B324" i="7"/>
  <c r="B325" i="7"/>
  <c r="B326" i="7"/>
  <c r="B327" i="7"/>
  <c r="B328" i="7"/>
  <c r="B329" i="7"/>
  <c r="B330" i="7"/>
  <c r="B331" i="7"/>
  <c r="B332" i="7"/>
  <c r="B333" i="7"/>
  <c r="B334" i="7"/>
  <c r="B335" i="7"/>
  <c r="B336" i="7"/>
  <c r="B337" i="7"/>
  <c r="B338" i="7"/>
  <c r="B339" i="7"/>
  <c r="B340" i="7"/>
  <c r="B359" i="7"/>
  <c r="B360" i="7"/>
  <c r="B361" i="7"/>
  <c r="B362" i="7"/>
  <c r="B14" i="7"/>
  <c r="L20" i="7"/>
  <c r="L21" i="7"/>
  <c r="L22" i="7"/>
  <c r="A10" i="4"/>
  <c r="C9" i="7" s="1"/>
  <c r="K6" i="4"/>
  <c r="B6" i="4"/>
  <c r="C9" i="5"/>
  <c r="C8" i="7" s="1"/>
  <c r="H4" i="12" l="1"/>
  <c r="I10" i="12"/>
  <c r="L10" i="12"/>
  <c r="H16" i="12"/>
  <c r="L18" i="12"/>
  <c r="L22" i="12"/>
  <c r="L26" i="12"/>
  <c r="L30" i="12"/>
  <c r="L34" i="12"/>
  <c r="L9" i="12"/>
  <c r="I7" i="12"/>
  <c r="I13" i="12"/>
  <c r="I18" i="12"/>
  <c r="I22" i="12"/>
  <c r="I26" i="12"/>
  <c r="I30" i="12"/>
  <c r="I34" i="12"/>
  <c r="H9" i="12"/>
  <c r="H14" i="12"/>
  <c r="H20" i="12"/>
  <c r="H24" i="12"/>
  <c r="H28" i="12"/>
  <c r="L19" i="12"/>
  <c r="L23" i="12"/>
  <c r="L27" i="12"/>
  <c r="L11" i="12"/>
  <c r="L4" i="12"/>
  <c r="I9" i="12"/>
  <c r="I14" i="12"/>
  <c r="I19" i="12"/>
  <c r="I23" i="12"/>
  <c r="I27" i="12"/>
  <c r="I31" i="12"/>
  <c r="I4" i="12"/>
  <c r="H11" i="12"/>
  <c r="H17" i="12"/>
  <c r="H21" i="12"/>
  <c r="H25" i="12"/>
  <c r="H29" i="12"/>
  <c r="L15" i="12"/>
  <c r="L20" i="12"/>
  <c r="L24" i="12"/>
  <c r="L28" i="12"/>
  <c r="L32" i="12"/>
  <c r="L6" i="12"/>
  <c r="L12" i="12"/>
  <c r="I5" i="12"/>
  <c r="I11" i="12"/>
  <c r="I15" i="12"/>
  <c r="I20" i="12"/>
  <c r="I24" i="12"/>
  <c r="I28" i="12"/>
  <c r="I32" i="12"/>
  <c r="H6" i="12"/>
  <c r="H12" i="12"/>
  <c r="H18" i="12"/>
  <c r="H26" i="12"/>
  <c r="H30" i="12"/>
  <c r="H34" i="12"/>
  <c r="L16" i="12"/>
  <c r="L21" i="12"/>
  <c r="L25" i="12"/>
  <c r="L29" i="12"/>
  <c r="L33" i="12"/>
  <c r="L7" i="12"/>
  <c r="L13" i="12"/>
  <c r="I6" i="12"/>
  <c r="I12" i="12"/>
  <c r="I16" i="12"/>
  <c r="I21" i="12"/>
  <c r="I25" i="12"/>
  <c r="I29" i="12"/>
  <c r="I33" i="12"/>
  <c r="H7" i="12"/>
  <c r="H13" i="12"/>
  <c r="H19" i="12"/>
  <c r="H23" i="12"/>
  <c r="H27" i="12"/>
  <c r="H31" i="12"/>
  <c r="L17" i="12"/>
  <c r="I17" i="12"/>
  <c r="H8" i="12"/>
  <c r="I8" i="12"/>
  <c r="L8" i="12"/>
  <c r="I113" i="4"/>
  <c r="J113" i="4"/>
  <c r="L432" i="7" s="1"/>
  <c r="I114" i="4"/>
  <c r="J114" i="4"/>
  <c r="L433" i="7" s="1"/>
  <c r="J112" i="4"/>
  <c r="L431" i="7" s="1"/>
  <c r="I112" i="4"/>
  <c r="F24" i="5"/>
  <c r="K34" i="12" l="1"/>
  <c r="M34" i="12" s="1"/>
  <c r="K13" i="12"/>
  <c r="M13" i="12" s="1"/>
  <c r="K31" i="12"/>
  <c r="K18" i="12"/>
  <c r="M18" i="12" s="1"/>
  <c r="K23" i="12"/>
  <c r="M23" i="12" s="1"/>
  <c r="K17" i="12"/>
  <c r="M17" i="12" s="1"/>
  <c r="K27" i="12"/>
  <c r="M27" i="12" s="1"/>
  <c r="K30" i="12"/>
  <c r="M30" i="12" s="1"/>
  <c r="K4" i="12"/>
  <c r="M4" i="12" s="1"/>
  <c r="K19" i="12"/>
  <c r="M19" i="12" s="1"/>
  <c r="K7" i="12"/>
  <c r="M7" i="12" s="1"/>
  <c r="K26" i="12"/>
  <c r="M26" i="12" s="1"/>
  <c r="I42" i="12"/>
  <c r="K21" i="12"/>
  <c r="M21" i="12" s="1"/>
  <c r="K28" i="12"/>
  <c r="M28" i="12" s="1"/>
  <c r="K9" i="12"/>
  <c r="M9" i="12" s="1"/>
  <c r="K12" i="12"/>
  <c r="M12" i="12" s="1"/>
  <c r="K24" i="12"/>
  <c r="M24" i="12" s="1"/>
  <c r="K6" i="12"/>
  <c r="M6" i="12" s="1"/>
  <c r="K29" i="12"/>
  <c r="M29" i="12" s="1"/>
  <c r="K11" i="12"/>
  <c r="M11" i="12" s="1"/>
  <c r="K20" i="12"/>
  <c r="M20" i="12" s="1"/>
  <c r="K25" i="12"/>
  <c r="M25" i="12" s="1"/>
  <c r="K14" i="12"/>
  <c r="K16" i="12"/>
  <c r="M16" i="12" s="1"/>
  <c r="K8" i="12"/>
  <c r="M8" i="12" s="1"/>
  <c r="F18" i="5"/>
  <c r="E12" i="5" l="1"/>
  <c r="J10" i="4" s="1"/>
  <c r="I9" i="7" s="1"/>
  <c r="L49" i="4" l="1"/>
  <c r="K49" i="4"/>
  <c r="J49" i="4"/>
  <c r="I49" i="4"/>
  <c r="H49" i="4"/>
  <c r="G49" i="4"/>
  <c r="F49" i="4"/>
  <c r="E49" i="4"/>
  <c r="D49" i="4"/>
  <c r="C49" i="4"/>
  <c r="B49" i="4"/>
  <c r="E113" i="4"/>
  <c r="F432" i="7" s="1"/>
  <c r="E114" i="4"/>
  <c r="F433" i="7" s="1"/>
  <c r="E112" i="4"/>
  <c r="F431" i="7" s="1"/>
  <c r="A113" i="4"/>
  <c r="B432" i="7" s="1"/>
  <c r="A114" i="4"/>
  <c r="B433" i="7" s="1"/>
  <c r="A112" i="4"/>
  <c r="B431" i="7" s="1"/>
  <c r="B48" i="5"/>
  <c r="F106" i="4"/>
  <c r="F25" i="5" s="1"/>
  <c r="L106" i="4"/>
  <c r="F26" i="5" s="1"/>
  <c r="H22" i="12" l="1"/>
  <c r="K22" i="12" l="1"/>
  <c r="M22" i="12" l="1"/>
  <c r="K20" i="4" l="1"/>
  <c r="L20" i="4" s="1"/>
  <c r="K19" i="4"/>
  <c r="L19" i="4" s="1"/>
  <c r="K18" i="4"/>
  <c r="L18" i="4" s="1"/>
  <c r="D65" i="4" l="1"/>
  <c r="E65" i="4" s="1"/>
  <c r="L65" i="4" s="1"/>
  <c r="D66" i="4"/>
  <c r="E66" i="4" s="1"/>
  <c r="L66" i="4" s="1"/>
  <c r="D64" i="4"/>
  <c r="E64" i="4" s="1"/>
  <c r="L64" i="4" s="1"/>
  <c r="K17" i="4"/>
  <c r="L17" i="4" s="1"/>
  <c r="L27" i="4" s="1"/>
  <c r="D58" i="4"/>
  <c r="E58" i="4" s="1"/>
  <c r="L58" i="4" s="1"/>
  <c r="D59" i="4"/>
  <c r="E59" i="4" s="1"/>
  <c r="L59" i="4" s="1"/>
  <c r="D63" i="4"/>
  <c r="E63" i="4" s="1"/>
  <c r="L63" i="4" s="1"/>
  <c r="D62" i="4"/>
  <c r="E62" i="4" s="1"/>
  <c r="L62" i="4" s="1"/>
  <c r="D56" i="4"/>
  <c r="D60" i="4"/>
  <c r="E60" i="4" s="1"/>
  <c r="L60" i="4" s="1"/>
  <c r="D61" i="4"/>
  <c r="E61" i="4" s="1"/>
  <c r="L61" i="4" s="1"/>
  <c r="D57" i="4"/>
  <c r="E57" i="4" s="1"/>
  <c r="L57" i="4" s="1"/>
  <c r="F17" i="5" l="1"/>
  <c r="L29" i="4"/>
  <c r="G77" i="4"/>
  <c r="H77" i="4" s="1"/>
  <c r="L77" i="4" s="1"/>
  <c r="G76" i="4"/>
  <c r="H76" i="4" s="1"/>
  <c r="L76" i="4" s="1"/>
  <c r="G74" i="4"/>
  <c r="H74" i="4" s="1"/>
  <c r="L74" i="4" s="1"/>
  <c r="G78" i="4"/>
  <c r="H78" i="4" s="1"/>
  <c r="L78" i="4" s="1"/>
  <c r="G69" i="4"/>
  <c r="H69" i="4" s="1"/>
  <c r="L69" i="4" s="1"/>
  <c r="G68" i="4"/>
  <c r="H68" i="4" s="1"/>
  <c r="L68" i="4" s="1"/>
  <c r="G71" i="4"/>
  <c r="H71" i="4" s="1"/>
  <c r="L71" i="4" s="1"/>
  <c r="E56" i="4"/>
  <c r="L56" i="4" s="1"/>
  <c r="L67" i="4" s="1"/>
  <c r="G73" i="4"/>
  <c r="H73" i="4" s="1"/>
  <c r="L73" i="4" s="1"/>
  <c r="G72" i="4"/>
  <c r="H72" i="4" s="1"/>
  <c r="L72" i="4" s="1"/>
  <c r="G70" i="4"/>
  <c r="H70" i="4" s="1"/>
  <c r="L70" i="4" s="1"/>
  <c r="G75" i="4"/>
  <c r="H75" i="4" s="1"/>
  <c r="L75" i="4" s="1"/>
  <c r="L79" i="4" l="1"/>
  <c r="F23" i="5" s="1"/>
  <c r="F22" i="5"/>
  <c r="F27" i="5" l="1"/>
  <c r="F30" i="5" s="1"/>
  <c r="L81" i="4"/>
  <c r="L108" i="4" s="1"/>
  <c r="G35" i="12" s="1"/>
  <c r="G42" i="12" s="1"/>
  <c r="N402" i="7" s="1"/>
  <c r="F49" i="12" l="1"/>
  <c r="N403" i="7"/>
  <c r="N401" i="7"/>
  <c r="F50" i="12"/>
  <c r="F47" i="12"/>
  <c r="F46" i="12"/>
  <c r="G27" i="5"/>
  <c r="F45" i="12"/>
  <c r="F48" i="12"/>
  <c r="H45" i="12" l="1"/>
  <c r="H10" i="12" l="1"/>
  <c r="K10" i="12" s="1"/>
  <c r="M10" i="12" s="1"/>
  <c r="H15" i="12" l="1"/>
  <c r="K15" i="12" s="1"/>
  <c r="M15" i="12" s="1"/>
  <c r="F31" i="5" l="1"/>
  <c r="G46" i="12"/>
  <c r="L14" i="12" l="1"/>
  <c r="M14" i="12" s="1"/>
  <c r="H5" i="12"/>
  <c r="L5" i="12"/>
  <c r="H32" i="12"/>
  <c r="K32" i="12" s="1"/>
  <c r="M32" i="12" s="1"/>
  <c r="K5" i="12" l="1"/>
  <c r="M5" i="12" l="1"/>
  <c r="N427" i="7" l="1"/>
  <c r="L31" i="12"/>
  <c r="H33" i="12"/>
  <c r="M31" i="12" l="1"/>
  <c r="L42" i="12"/>
  <c r="F32" i="5"/>
  <c r="F33" i="5" s="1"/>
  <c r="F35" i="5" s="1"/>
  <c r="K33" i="12"/>
  <c r="H42" i="12"/>
  <c r="M33" i="12" l="1"/>
  <c r="M42" i="12" s="1"/>
  <c r="K42" i="12"/>
  <c r="L45" i="12" l="1"/>
  <c r="N436" i="7"/>
</calcChain>
</file>

<file path=xl/sharedStrings.xml><?xml version="1.0" encoding="utf-8"?>
<sst xmlns="http://schemas.openxmlformats.org/spreadsheetml/2006/main" count="3738" uniqueCount="1377">
  <si>
    <t>UNIDAD:</t>
  </si>
  <si>
    <t>CENTRO DE COSTOS:</t>
  </si>
  <si>
    <t>Nombre:</t>
  </si>
  <si>
    <t>PROYECTO O SUBPROYECTO</t>
  </si>
  <si>
    <t>U N I V E R S I D A D   L I B R E</t>
  </si>
  <si>
    <t>CÓDIGO:</t>
  </si>
  <si>
    <t>NOMBRE</t>
  </si>
  <si>
    <t>CÓDIGO</t>
  </si>
  <si>
    <t>PREGRADO:</t>
  </si>
  <si>
    <t>POSGRADO:</t>
  </si>
  <si>
    <t>ELABORADO POR:</t>
  </si>
  <si>
    <t>REVISADO OFICINA DE PRESUPUESTO:</t>
  </si>
  <si>
    <t xml:space="preserve">SECCIONAL: </t>
  </si>
  <si>
    <t>Código:</t>
  </si>
  <si>
    <t>CICLO I</t>
  </si>
  <si>
    <t>CICLO II</t>
  </si>
  <si>
    <t>TOTAL</t>
  </si>
  <si>
    <t>Matrículas</t>
  </si>
  <si>
    <t>JARDIN 1</t>
  </si>
  <si>
    <t>JARDIN 2</t>
  </si>
  <si>
    <t>TRANSICIÓN</t>
  </si>
  <si>
    <t>PRIMERO</t>
  </si>
  <si>
    <t>SEGUNDO</t>
  </si>
  <si>
    <t>TERCERO</t>
  </si>
  <si>
    <t>CUARTO</t>
  </si>
  <si>
    <t>QUINTO</t>
  </si>
  <si>
    <t>SEXTO</t>
  </si>
  <si>
    <t>SÉPTIMO</t>
  </si>
  <si>
    <t>OCTAVO</t>
  </si>
  <si>
    <t>NOVENO</t>
  </si>
  <si>
    <t>DÉCIMO</t>
  </si>
  <si>
    <t>ONCE</t>
  </si>
  <si>
    <t>SEPTIMO</t>
  </si>
  <si>
    <t>DECIMO</t>
  </si>
  <si>
    <t>Pensiones</t>
  </si>
  <si>
    <t>Becas Alcaldía</t>
  </si>
  <si>
    <t>Becas Consejo Directivo</t>
  </si>
  <si>
    <t>Becas Consiliatura</t>
  </si>
  <si>
    <t>Becas Convencionales Asproul</t>
  </si>
  <si>
    <t>Becas Convencionales Sinties</t>
  </si>
  <si>
    <t>Becas Por Excelencia</t>
  </si>
  <si>
    <t>Becas Convenios</t>
  </si>
  <si>
    <t>Becas Egresados</t>
  </si>
  <si>
    <t>Descuento Por Egresados</t>
  </si>
  <si>
    <t>Descuentos Deportes</t>
  </si>
  <si>
    <t>Descuentos Pronto Pago</t>
  </si>
  <si>
    <t>Descuentos Grupo Familiar</t>
  </si>
  <si>
    <t>Descuentos Convenio Empresarial</t>
  </si>
  <si>
    <t>Descuento Monitorias</t>
  </si>
  <si>
    <t>Descuento Traslados Sedes</t>
  </si>
  <si>
    <t>Descuento Bono Estudiantil</t>
  </si>
  <si>
    <t>Descuentos</t>
  </si>
  <si>
    <t>Cantidad</t>
  </si>
  <si>
    <t>Valor Unitario</t>
  </si>
  <si>
    <t>Inscripciones Pregrado</t>
  </si>
  <si>
    <t>Inscripciones Postgrados</t>
  </si>
  <si>
    <t>Certificados</t>
  </si>
  <si>
    <t>Constancias</t>
  </si>
  <si>
    <t>Programas Académicos Por Año/Semestre</t>
  </si>
  <si>
    <t>Programas Académicos Por Materia</t>
  </si>
  <si>
    <t>Derechos De Grado Privados</t>
  </si>
  <si>
    <t>Derechos De Grado Múltiples</t>
  </si>
  <si>
    <t>Habilitaciones</t>
  </si>
  <si>
    <t>Paz Y Salvos</t>
  </si>
  <si>
    <t>Preparatorios</t>
  </si>
  <si>
    <t>Preparatorio Jornada Única</t>
  </si>
  <si>
    <t>Supletorios</t>
  </si>
  <si>
    <t>Diferidos</t>
  </si>
  <si>
    <t>Validaciones</t>
  </si>
  <si>
    <t>Cursos de Opción de Grado - Pregrado</t>
  </si>
  <si>
    <t>Cursos de Vacaciones, Remediales o Nivelación</t>
  </si>
  <si>
    <t>Comercialización De Publicaciones</t>
  </si>
  <si>
    <t>Catedra Gerardo Molina Y Astronomía</t>
  </si>
  <si>
    <t>Diplomados De Conciliación</t>
  </si>
  <si>
    <t>Tutorías</t>
  </si>
  <si>
    <t>Asesoría</t>
  </si>
  <si>
    <t>Consultorías</t>
  </si>
  <si>
    <t>Convenios</t>
  </si>
  <si>
    <t xml:space="preserve">Número Matrículas Proyectadas </t>
  </si>
  <si>
    <t>CURSO</t>
  </si>
  <si>
    <t>Número Matrículas Año Anterior</t>
  </si>
  <si>
    <t>M A T R Í C U L A S   U N I V E R S I D A D</t>
  </si>
  <si>
    <t>M A T R Í C U L A S   Y   P E N S I Ó N   C O L E G I O</t>
  </si>
  <si>
    <t>Valor Total Matrículas más Pensiones Proyectadas</t>
  </si>
  <si>
    <t xml:space="preserve">Valor Matrícula </t>
  </si>
  <si>
    <t>Valor Total Matrículas</t>
  </si>
  <si>
    <t>Valor Pensión Mensual</t>
  </si>
  <si>
    <t>Valor Total Pensiones</t>
  </si>
  <si>
    <t xml:space="preserve">Total Matrículas más Pensiones </t>
  </si>
  <si>
    <t>Recargos Pagos Extemporáneos</t>
  </si>
  <si>
    <t>Valor Total Matrículas Proyectadas</t>
  </si>
  <si>
    <t>Valor Matrícula Anual</t>
  </si>
  <si>
    <t>B E C A S   Y     D E S C U E N T O S</t>
  </si>
  <si>
    <t>TOTAL BECAS</t>
  </si>
  <si>
    <t>TOTAL DESCUENTOS</t>
  </si>
  <si>
    <t>TOTAL BECAS Y DESCUENTOS</t>
  </si>
  <si>
    <t>Concepto</t>
  </si>
  <si>
    <t>Curso</t>
  </si>
  <si>
    <t>Número de Becas</t>
  </si>
  <si>
    <t>Número de Descuentos</t>
  </si>
  <si>
    <t>Valor de la Beca</t>
  </si>
  <si>
    <t>Total Becas</t>
  </si>
  <si>
    <t>Valor descuento</t>
  </si>
  <si>
    <t>Total Descuentos</t>
  </si>
  <si>
    <t>BECAS</t>
  </si>
  <si>
    <t>DESCUENTOS</t>
  </si>
  <si>
    <t>DEVOLUCIONES</t>
  </si>
  <si>
    <t>DEVOLUCIONES DE MATRÍCULAS</t>
  </si>
  <si>
    <t>TOTAL BECAS + DESCUENTOS + DEVOLUCIONES</t>
  </si>
  <si>
    <t>A C T I V I D A D E S    D E     P R O Y E C C I Ó N    S O C I A L   Y    E X T E N S I Ó N</t>
  </si>
  <si>
    <t>F O R M A T O   P A R A   E L A B O R A C I Ó N   D E   P R E S U P U E S T O   A N U A L    D E   G A S T O S    E    I N V E R S I O N E S</t>
  </si>
  <si>
    <t>AÑO:</t>
  </si>
  <si>
    <t>Cursos de extensión de Ingles - CLEUL</t>
  </si>
  <si>
    <t>Cursos de extensión de Frances - CLEUL</t>
  </si>
  <si>
    <t>Cursos prueba Saber Pro</t>
  </si>
  <si>
    <t>Cursos De Idiomas Niños - Centro práctica social</t>
  </si>
  <si>
    <t>Cursos De Idiomas Adultos- Centro práctica social</t>
  </si>
  <si>
    <t>Cursos de ingles para estudiantes</t>
  </si>
  <si>
    <t>Cursos de Preparatorios</t>
  </si>
  <si>
    <t>Diplomado Escuela de docentes - No egresados</t>
  </si>
  <si>
    <t>Cursos Escuela Docentes - No Egresados</t>
  </si>
  <si>
    <t>Cursos Escuela Docentes - Egresados</t>
  </si>
  <si>
    <t>Diplomado Escuela de docentes - Egresados</t>
  </si>
  <si>
    <t>Cursos Escuela Docentes - Estudiantes Ulibre</t>
  </si>
  <si>
    <t>Diplomado Escuela de docentes - Estudiantes Ulibre</t>
  </si>
  <si>
    <t>TOTAL MATRÍCULAS</t>
  </si>
  <si>
    <t>RECRAGOS PAGOS EXTEMPORÁNEOS</t>
  </si>
  <si>
    <t>TOTAL OTRAS ACTIVIDADES</t>
  </si>
  <si>
    <t>APROBADO POR:</t>
  </si>
  <si>
    <t>REVISIÓN PRESUPUESTO:</t>
  </si>
  <si>
    <t>TOTAL INGRESOS</t>
  </si>
  <si>
    <t>Becas</t>
  </si>
  <si>
    <t>Devoluciones de matrículas</t>
  </si>
  <si>
    <t>Matrículas Universidad</t>
  </si>
  <si>
    <t>Recargos pagos extemporáneos Universidad</t>
  </si>
  <si>
    <t>Matrículas Colegio</t>
  </si>
  <si>
    <t>Pensiones Colegio</t>
  </si>
  <si>
    <t>INGRESOS</t>
  </si>
  <si>
    <t>DIFERENCIA</t>
  </si>
  <si>
    <t>TOTAL GASTOS MÁS INVERSIONES</t>
  </si>
  <si>
    <t>CONCEPTO</t>
  </si>
  <si>
    <t xml:space="preserve">TIPO DE UNIDAD: </t>
  </si>
  <si>
    <t>02010102</t>
  </si>
  <si>
    <t>02010106</t>
  </si>
  <si>
    <t>03010101</t>
  </si>
  <si>
    <t>03010102</t>
  </si>
  <si>
    <t>03010103</t>
  </si>
  <si>
    <t>03010104</t>
  </si>
  <si>
    <t>03020102</t>
  </si>
  <si>
    <t>03020104</t>
  </si>
  <si>
    <t>04010101</t>
  </si>
  <si>
    <t>04010102</t>
  </si>
  <si>
    <t>04010104</t>
  </si>
  <si>
    <t>04020112</t>
  </si>
  <si>
    <t>05010102</t>
  </si>
  <si>
    <t>05010103</t>
  </si>
  <si>
    <t>05010104</t>
  </si>
  <si>
    <t>05010107</t>
  </si>
  <si>
    <t>05010108</t>
  </si>
  <si>
    <t>05020102</t>
  </si>
  <si>
    <t>06010101</t>
  </si>
  <si>
    <t>06010103</t>
  </si>
  <si>
    <t>08010101</t>
  </si>
  <si>
    <t>09010101</t>
  </si>
  <si>
    <t>10010101</t>
  </si>
  <si>
    <t>10010102</t>
  </si>
  <si>
    <t>11010199</t>
  </si>
  <si>
    <t>88010101</t>
  </si>
  <si>
    <t>88010102</t>
  </si>
  <si>
    <t>88010103</t>
  </si>
  <si>
    <t>88010104</t>
  </si>
  <si>
    <t>88010105</t>
  </si>
  <si>
    <t>88010106</t>
  </si>
  <si>
    <t>89010101</t>
  </si>
  <si>
    <t>89010102</t>
  </si>
  <si>
    <t>89010103</t>
  </si>
  <si>
    <t>89010104</t>
  </si>
  <si>
    <t>89010105</t>
  </si>
  <si>
    <t>91010101</t>
  </si>
  <si>
    <t>91010102</t>
  </si>
  <si>
    <t>91010103</t>
  </si>
  <si>
    <t>91010104</t>
  </si>
  <si>
    <t>91010105</t>
  </si>
  <si>
    <t>91010106</t>
  </si>
  <si>
    <t>91010107</t>
  </si>
  <si>
    <t>91010108</t>
  </si>
  <si>
    <t>91010109</t>
  </si>
  <si>
    <t>91010110</t>
  </si>
  <si>
    <t>91010111</t>
  </si>
  <si>
    <t>91010112</t>
  </si>
  <si>
    <t>91020101</t>
  </si>
  <si>
    <t>91030101</t>
  </si>
  <si>
    <t>91030102</t>
  </si>
  <si>
    <t>91030103</t>
  </si>
  <si>
    <t>91030104</t>
  </si>
  <si>
    <t>91030105</t>
  </si>
  <si>
    <t>91030106</t>
  </si>
  <si>
    <t>91040101</t>
  </si>
  <si>
    <t>91040102</t>
  </si>
  <si>
    <t>91040103</t>
  </si>
  <si>
    <t>91040104</t>
  </si>
  <si>
    <t>91040105</t>
  </si>
  <si>
    <t xml:space="preserve">NOMBRE </t>
  </si>
  <si>
    <t>03010106</t>
  </si>
  <si>
    <t>10020101</t>
  </si>
  <si>
    <t>10020102</t>
  </si>
  <si>
    <t>10030101</t>
  </si>
  <si>
    <t>10030102</t>
  </si>
  <si>
    <t>10040102</t>
  </si>
  <si>
    <t>10040104</t>
  </si>
  <si>
    <t>10050101</t>
  </si>
  <si>
    <t>10050102</t>
  </si>
  <si>
    <t>10060101</t>
  </si>
  <si>
    <t>10070101</t>
  </si>
  <si>
    <t>10070102</t>
  </si>
  <si>
    <t>10070103</t>
  </si>
  <si>
    <t>10080101</t>
  </si>
  <si>
    <t>10080102</t>
  </si>
  <si>
    <t>10130101</t>
  </si>
  <si>
    <t>10140101</t>
  </si>
  <si>
    <t>10040101</t>
  </si>
  <si>
    <t>N</t>
  </si>
  <si>
    <t>E</t>
  </si>
  <si>
    <t>F</t>
  </si>
  <si>
    <t>M</t>
  </si>
  <si>
    <t>A</t>
  </si>
  <si>
    <t>J</t>
  </si>
  <si>
    <t>S</t>
  </si>
  <si>
    <t>O</t>
  </si>
  <si>
    <t>D</t>
  </si>
  <si>
    <t>1.  Misión Proyecto Institucional y de Programa
4. Procesos Académicos (2)</t>
  </si>
  <si>
    <t xml:space="preserve">NOMBRE: </t>
  </si>
  <si>
    <r>
      <rPr>
        <b/>
        <sz val="14"/>
        <color indexed="8"/>
        <rFont val="Arial"/>
        <family val="2"/>
      </rPr>
      <t>FECHA</t>
    </r>
    <r>
      <rPr>
        <sz val="14"/>
        <color indexed="8"/>
        <rFont val="Arial"/>
        <family val="2"/>
      </rPr>
      <t xml:space="preserve">: </t>
    </r>
  </si>
  <si>
    <r>
      <t>FECHA:</t>
    </r>
    <r>
      <rPr>
        <sz val="8"/>
        <color indexed="8"/>
        <rFont val="Arial Unicode MS"/>
        <family val="2"/>
      </rPr>
      <t xml:space="preserve"> </t>
    </r>
  </si>
  <si>
    <t>10100101</t>
  </si>
  <si>
    <t>10090101</t>
  </si>
  <si>
    <t>10110101</t>
  </si>
  <si>
    <t>10110102</t>
  </si>
  <si>
    <t>10110103</t>
  </si>
  <si>
    <t>10120101</t>
  </si>
  <si>
    <t>10120102</t>
  </si>
  <si>
    <t>10130102</t>
  </si>
  <si>
    <t>CARGO:</t>
  </si>
  <si>
    <r>
      <rPr>
        <b/>
        <sz val="14"/>
        <color indexed="8"/>
        <rFont val="Arial"/>
        <family val="2"/>
      </rPr>
      <t>NOMBRE</t>
    </r>
    <r>
      <rPr>
        <sz val="14"/>
        <color indexed="8"/>
        <rFont val="Arial"/>
        <family val="2"/>
      </rPr>
      <t xml:space="preserve">: </t>
    </r>
  </si>
  <si>
    <t>Que requieran o no presupuesto</t>
  </si>
  <si>
    <t xml:space="preserve">ACTIVIDADES A REALIZAR EN EL AÑO
(Conjunto de acciones) </t>
  </si>
  <si>
    <t>ACCIONES A REALIZAR EN EL AÑO
(Tareas especificas)</t>
  </si>
  <si>
    <t>Presupuesto Año</t>
  </si>
  <si>
    <t>Número Estudiantes Año Anterior</t>
  </si>
  <si>
    <t>Número Estudiantes Año Actual</t>
  </si>
  <si>
    <t>Número de Pagos Anuales</t>
  </si>
  <si>
    <t xml:space="preserve">PRESUPUESTO PARA EL AÑO </t>
  </si>
  <si>
    <t xml:space="preserve">CRONOGRAMA AÑO </t>
  </si>
  <si>
    <t>TIPO DE PRESUPUESTO
(Inversión o Gasto)</t>
  </si>
  <si>
    <t>AREA
(Función/Proceso Misional)</t>
  </si>
  <si>
    <t>META PIDI 
(Mediano Plazo)
2019 - 2021</t>
  </si>
  <si>
    <t>META PIDI
AÑO A PROYECTAR</t>
  </si>
  <si>
    <t>10110104</t>
  </si>
  <si>
    <t>Sistema de Gestión de Seguridad y Salud en el Trabajo</t>
  </si>
  <si>
    <t>10110105</t>
  </si>
  <si>
    <t>Sistema de Gestión Ambiental</t>
  </si>
  <si>
    <t>10110106</t>
  </si>
  <si>
    <t>Sistema de Gestión para la Seguridad Informática</t>
  </si>
  <si>
    <t>Sistema de Gestión Documental</t>
  </si>
  <si>
    <t>PRESUPUESTO
(Valor proyectado para cada acción)</t>
  </si>
  <si>
    <t>CUENTA
(Rubro Presupuestal)</t>
  </si>
  <si>
    <t>Recargos pagos extemporáneos Colegio</t>
  </si>
  <si>
    <t>Gastos de personal según proyecciones de oficina de nómina</t>
  </si>
  <si>
    <t>Gastos de funcionamiento según cálculos de oficina de presupuesto</t>
  </si>
  <si>
    <t xml:space="preserve">Actividades de extensión y proyección social </t>
  </si>
  <si>
    <t>Otros derechos pecuniarios</t>
  </si>
  <si>
    <t>O T R O S    D E R E C H O S    P E C U N I A R I O S</t>
  </si>
  <si>
    <t>TOTAL OTROS DERECHOS PECUNIARIOS</t>
  </si>
  <si>
    <t xml:space="preserve">T O T A L   I N G R E S O S   </t>
  </si>
  <si>
    <t>Valor proyectado derechos pecuniarios</t>
  </si>
  <si>
    <t>Valor proyectado actividades</t>
  </si>
  <si>
    <t>TOTAL PRESUPUESTO DE GASTOS MÁS INVERSIONES DE PROYECTOS</t>
  </si>
  <si>
    <t>Gastos más inversiones de investigación según directores de centros de investigación</t>
  </si>
  <si>
    <t>Gastos más inversiones de proyectos</t>
  </si>
  <si>
    <t>FORMATO RESUMEN DE PROYECTO DE PRESUPUESTO</t>
  </si>
  <si>
    <t>PEREIRA</t>
  </si>
  <si>
    <t>2020</t>
  </si>
  <si>
    <t>SECCIONAL: PEREIRA</t>
  </si>
  <si>
    <t>TIPO DE UNIDAD</t>
  </si>
  <si>
    <t>FACULTAD DE CIENCIAS DE LA SALUD</t>
  </si>
  <si>
    <t>Enfermería</t>
  </si>
  <si>
    <t>Microbiología</t>
  </si>
  <si>
    <t>02010108</t>
  </si>
  <si>
    <t>Nutrición y Dietética</t>
  </si>
  <si>
    <t>02020115</t>
  </si>
  <si>
    <t>Esp. en Entrenamiento Deportivo</t>
  </si>
  <si>
    <t>02020117</t>
  </si>
  <si>
    <t>Esp. Buenas practicas agropecuarias</t>
  </si>
  <si>
    <t>02020118</t>
  </si>
  <si>
    <t>Esp. Seguridad y salud en el trabajo</t>
  </si>
  <si>
    <t>02030108</t>
  </si>
  <si>
    <t>Maestría en Gestión de la Seguridad y Salud en el Trabajo</t>
  </si>
  <si>
    <t>FACULTAD DE DERECHO Y CIENCIAS POLITICAS</t>
  </si>
  <si>
    <t>Derecho Calendario A</t>
  </si>
  <si>
    <t>Derecho Calendario B</t>
  </si>
  <si>
    <t>Consultorio Jurídico</t>
  </si>
  <si>
    <t>Centro de conciliación</t>
  </si>
  <si>
    <t>Trabajo Social</t>
  </si>
  <si>
    <t>Esp. en Derecho Administrativo</t>
  </si>
  <si>
    <t>Esp. en Derecho Constitucional</t>
  </si>
  <si>
    <t>03020127</t>
  </si>
  <si>
    <t>Esp. Derecho de daños y Responsabilidad pública y privada</t>
  </si>
  <si>
    <t>03020128</t>
  </si>
  <si>
    <t>Esp. Derecho Procesal, Probatorio y Oralidad</t>
  </si>
  <si>
    <t>03020129</t>
  </si>
  <si>
    <t>Esp. Derecho Minero Energetico e Hidrocarburos</t>
  </si>
  <si>
    <t>03020130</t>
  </si>
  <si>
    <t>Esp. Responsabilidad Médica</t>
  </si>
  <si>
    <t>03020131</t>
  </si>
  <si>
    <t>Esp. Derecho del Trabajo, Pensiones y Riesgos Laborales</t>
  </si>
  <si>
    <t>03020133</t>
  </si>
  <si>
    <t>Esp. en Derecho Laboral y Seguridad Social</t>
  </si>
  <si>
    <t>03020134</t>
  </si>
  <si>
    <t>Esp. en Derecho Penal</t>
  </si>
  <si>
    <t>03020136</t>
  </si>
  <si>
    <t>Esp. Derecho Urbano gestión y planeamientos inmobiliarios</t>
  </si>
  <si>
    <t>03020138</t>
  </si>
  <si>
    <t>Esp. en Gerencia Social</t>
  </si>
  <si>
    <t>03030103</t>
  </si>
  <si>
    <t>Maestría en Derecho Administrativo</t>
  </si>
  <si>
    <t>03030106</t>
  </si>
  <si>
    <t>Maestría en Derecho Penal</t>
  </si>
  <si>
    <t>03030108</t>
  </si>
  <si>
    <t>Maestría en Derecho Constitucional</t>
  </si>
  <si>
    <t>FACULTAD CIENCIAS ECON/CONTB/ADM Y COMER</t>
  </si>
  <si>
    <t>Contaduría</t>
  </si>
  <si>
    <t>Economía</t>
  </si>
  <si>
    <t>Administración de Empresas</t>
  </si>
  <si>
    <t>Esp. en Administración Financiera</t>
  </si>
  <si>
    <t>04020120</t>
  </si>
  <si>
    <t>Esp. en Alta gerencia en Turismo de salud</t>
  </si>
  <si>
    <t>04020121</t>
  </si>
  <si>
    <t>Esp. en Gerencia de Negocios y Comercio Internacional</t>
  </si>
  <si>
    <t>04020122</t>
  </si>
  <si>
    <t>Esp. en Contabilidad Financiera Internacional</t>
  </si>
  <si>
    <t>04020125</t>
  </si>
  <si>
    <t>Esp. Gestión Tributaria y Aduanera</t>
  </si>
  <si>
    <t>04020126</t>
  </si>
  <si>
    <t>Esp. Revisoría Fiscal</t>
  </si>
  <si>
    <t>04020127</t>
  </si>
  <si>
    <t>Esp. Planeación y Gestión Estratégica</t>
  </si>
  <si>
    <t>Esp. en Alta Gerencia</t>
  </si>
  <si>
    <t>Maestría en Mercadeo</t>
  </si>
  <si>
    <t>04030302</t>
  </si>
  <si>
    <t>Maestría en Administración de Empresas</t>
  </si>
  <si>
    <t>FACULTAD DE INGENIERIA</t>
  </si>
  <si>
    <t>Ingeniería Comercíal</t>
  </si>
  <si>
    <t>Ingeniería de Sistemas</t>
  </si>
  <si>
    <t>Ingeniería Industríal</t>
  </si>
  <si>
    <t>Ingeniería Financiera</t>
  </si>
  <si>
    <t>Ingeniería Civil</t>
  </si>
  <si>
    <t>05020108</t>
  </si>
  <si>
    <t>Esp. Movilidad y transporte</t>
  </si>
  <si>
    <t>05020112</t>
  </si>
  <si>
    <t>Esp. Gerencia Logistica</t>
  </si>
  <si>
    <t>05030102</t>
  </si>
  <si>
    <t>ESCUELA DE CAPACITACION A DOCENTES</t>
  </si>
  <si>
    <t>Escuela de Capacitación a Docentes</t>
  </si>
  <si>
    <t>ORGANIZACION DE RELACIONES INTERNACIONAL</t>
  </si>
  <si>
    <t>Organización de relaciones Internacional</t>
  </si>
  <si>
    <t>DIRECCION CENTRO DE INVESTIGACIONES</t>
  </si>
  <si>
    <t>Direcciòn Seccional  de Investigaciones</t>
  </si>
  <si>
    <t>CENTROS DE PROYECCIÓN SOCIAL Y EDUCACIÓN CONTINUADA</t>
  </si>
  <si>
    <t>12010102</t>
  </si>
  <si>
    <t>Centro de emprendimiento innovación y desarrollo empresarial CEIDEUL</t>
  </si>
  <si>
    <t>12010103</t>
  </si>
  <si>
    <t>Centro de Lenguas Extranjeras CLEUL</t>
  </si>
  <si>
    <t>12010104</t>
  </si>
  <si>
    <t>Centro de Práctica Social</t>
  </si>
  <si>
    <t>12010105</t>
  </si>
  <si>
    <t>Centro de educación continuada</t>
  </si>
  <si>
    <t>12010106</t>
  </si>
  <si>
    <t>Tienda Unilibrista</t>
  </si>
  <si>
    <t>12010107</t>
  </si>
  <si>
    <t>Centro de Simulación Ciencias de la Salud</t>
  </si>
  <si>
    <t>UNIDADES DE APOYO ACADEMICO</t>
  </si>
  <si>
    <t>Biblioteca y Hemeroteca</t>
  </si>
  <si>
    <t>Laboratorios</t>
  </si>
  <si>
    <t>Admisiones y Registro</t>
  </si>
  <si>
    <t>Audiovisuales</t>
  </si>
  <si>
    <t>Salas de Informatica</t>
  </si>
  <si>
    <t>Publicaciones</t>
  </si>
  <si>
    <t>AREAS DE BIENESTAR</t>
  </si>
  <si>
    <t>Area de Salud</t>
  </si>
  <si>
    <t>Area de Cultura</t>
  </si>
  <si>
    <t>Area de desarrollo Humano</t>
  </si>
  <si>
    <t>Area de promoción Socioeconómica</t>
  </si>
  <si>
    <t>Area de Recreación y Deporte</t>
  </si>
  <si>
    <t>UNIDADES DE APOYO DIRECTIVO</t>
  </si>
  <si>
    <t>Consejo Directivo</t>
  </si>
  <si>
    <t>Presidencia Delegada</t>
  </si>
  <si>
    <t>Rectoría Seccional</t>
  </si>
  <si>
    <t>Secretaria Seccional</t>
  </si>
  <si>
    <t>Censoría Delegada</t>
  </si>
  <si>
    <t>Planeación Seccional</t>
  </si>
  <si>
    <t>Auditoría Interna</t>
  </si>
  <si>
    <t>Oficina Jurídica</t>
  </si>
  <si>
    <t>Sistemas y Comunicaciones</t>
  </si>
  <si>
    <t>Dirección de Bienestar</t>
  </si>
  <si>
    <t>SGC - Oficina de Sistema de Gestion de Calidad</t>
  </si>
  <si>
    <t>Oficina de Aseguramiento Calidad</t>
  </si>
  <si>
    <t>UNIDADES DE APOYO DE GESTION HUMANA</t>
  </si>
  <si>
    <t>Oficina de Personal</t>
  </si>
  <si>
    <t>UNIDADES DE APOYO FINANCIERO</t>
  </si>
  <si>
    <t>Oficina Dirección Financiera-Sindicatura</t>
  </si>
  <si>
    <t>Almacén</t>
  </si>
  <si>
    <t>Cartera</t>
  </si>
  <si>
    <t>Contabilidad</t>
  </si>
  <si>
    <t>Presupuesto</t>
  </si>
  <si>
    <t>Tesorería</t>
  </si>
  <si>
    <t>91030199</t>
  </si>
  <si>
    <t>Direccion Financiera</t>
  </si>
  <si>
    <t>UNIDADES DE APOYO ADMINISTRATIVO</t>
  </si>
  <si>
    <t>Oficina Dirección Administrativa</t>
  </si>
  <si>
    <t>Compras</t>
  </si>
  <si>
    <t>Servicios Generales</t>
  </si>
  <si>
    <t>Seguridad y Vigilancia</t>
  </si>
  <si>
    <t>Mercadeo y Comunicaciones</t>
  </si>
  <si>
    <t>*** FIN REPORTE ***</t>
  </si>
  <si>
    <t>SEVEN - Generales - Digital Ware Ltda.</t>
  </si>
  <si>
    <t>Formato Fecha :  yyyy/mm/dd</t>
  </si>
  <si>
    <t>CENTRO DE COSTO</t>
  </si>
  <si>
    <t>CODIGO</t>
  </si>
  <si>
    <t>Informe de compatibilidad para Plantilla Elaboracion Ppto 2020.xls</t>
  </si>
  <si>
    <t>Ejecutado el 11/07/2019 10:30</t>
  </si>
  <si>
    <t>Si el libro se guarda o se abre en un formato de archivo de una versión anterior de Microsoft Excel, las características indicadas no estarán disponibles.</t>
  </si>
  <si>
    <t>Pérdida menor de fidelidad</t>
  </si>
  <si>
    <t>Nº de apariciones</t>
  </si>
  <si>
    <t>Versión</t>
  </si>
  <si>
    <t>Algunas fórmulas de este libro están vinculadas a otros libros que están cerrados. Cuando estas fórmulas se vuelven a calcular en versiones anteriores de Excel sin abrir los libros vinculados, los caracteres que exceden el límite de 255 caracteres no se pueden devolver.</t>
  </si>
  <si>
    <t>Excel 97-2003</t>
  </si>
  <si>
    <t>2
Nombres definidos</t>
  </si>
  <si>
    <t>Algunas celdas o estilos de este libro contienen un formato no admitido en el formato de archivo seleccionado. Estos formatos se convertirán al formato más cercano disponible.</t>
  </si>
  <si>
    <t xml:space="preserve">Realizar los procesos de inducción y reinducción en PEI Y PEP. </t>
  </si>
  <si>
    <t>Jaime Alonso Velez Mazo</t>
  </si>
  <si>
    <t>Asistente de Presidencia para Presupuesto</t>
  </si>
  <si>
    <t>ÁREAS</t>
  </si>
  <si>
    <t>Auatoridades Nacionales</t>
  </si>
  <si>
    <t>01</t>
  </si>
  <si>
    <t>Docencia</t>
  </si>
  <si>
    <t>02</t>
  </si>
  <si>
    <t>Investigación</t>
  </si>
  <si>
    <t>03</t>
  </si>
  <si>
    <t>Educación Continuada</t>
  </si>
  <si>
    <t>04</t>
  </si>
  <si>
    <t>Administración Académica</t>
  </si>
  <si>
    <t>05</t>
  </si>
  <si>
    <t>Bienestar Institucional</t>
  </si>
  <si>
    <t>06</t>
  </si>
  <si>
    <t>Administración Institucional</t>
  </si>
  <si>
    <t>07</t>
  </si>
  <si>
    <t>Egresados</t>
  </si>
  <si>
    <t>08</t>
  </si>
  <si>
    <t>Proyección Social</t>
  </si>
  <si>
    <t>09</t>
  </si>
  <si>
    <t>Internacionalización</t>
  </si>
  <si>
    <t>10</t>
  </si>
  <si>
    <t>TIPO PRESUPUESTO</t>
  </si>
  <si>
    <t/>
  </si>
  <si>
    <t>Gastos Pregrado</t>
  </si>
  <si>
    <t>Inversión</t>
  </si>
  <si>
    <t>Inversión Pregrado</t>
  </si>
  <si>
    <t>Gastos Investigación</t>
  </si>
  <si>
    <t>Inversión Inves</t>
  </si>
  <si>
    <t>Gastos Administrativos</t>
  </si>
  <si>
    <t>Gastos Extensión</t>
  </si>
  <si>
    <t>PROY. 1: RACIONALIZACION Y AMPLIACION DE LA COBERTURA PROGRAMAS DE PREGRADO Y POSGRADO</t>
  </si>
  <si>
    <t>PROY. 2: PROYECTO E-LEARNING</t>
  </si>
  <si>
    <t>PROY. 3. DOCENCIA CALIFICADA</t>
  </si>
  <si>
    <t>PROY. 4. ESCUELA DE FORMACION PARA DOCENTES UNIVERSITARIOS</t>
  </si>
  <si>
    <t>PROY. 5. SEGUIMIENTO Y ATENCION ACADEMICA DE ESTUDIANTES</t>
  </si>
  <si>
    <t>PROY. 6. FOMENTO Y APOYO A LA EXCELENCIA ESTUDIANTIL</t>
  </si>
  <si>
    <t>PROY. 7. AUTOEVALUACION Y AUTORREGULACION PARA LA MEJORA PERMANENTE DE LA CALIDAD ACADEMICA</t>
  </si>
  <si>
    <t>PROY. 8. ACTUALIZACION ACADEMICA</t>
  </si>
  <si>
    <t>10040103</t>
  </si>
  <si>
    <t>PROY. 9. CUALIFICACION DE LOS PROGRAMAS DE EDUCACION PREESCOLAR, BASICA Y MEDIA</t>
  </si>
  <si>
    <t>PROY. 10 UNA UNIVERSIDAD CON MODERNOS APOYOS TECNOLOGICOS Y DIDACTICOS AL SERVICIO DE LA ACADEMICA</t>
  </si>
  <si>
    <t>PROY. 11. FORTALECIMIENTO Y CONSOLIDACION DE LA INVESTIGACION CIENTIFICA Y FORMATIVA EN LA U LIBRE</t>
  </si>
  <si>
    <t>PROY. 12. FOMENTO A LA PRODUCCION CIENTIFICA Y ACADEMICA</t>
  </si>
  <si>
    <t>10050127</t>
  </si>
  <si>
    <t>PROYECTO JOVEN INVESTIGADOR</t>
  </si>
  <si>
    <t>10050501</t>
  </si>
  <si>
    <t>FORTALECIMIENTO Y CONSOLIDACION DE LA INVESTIGACION CIENTIFICA Y FORMATIVA EN LA UNIVERSIDAD LIBRE</t>
  </si>
  <si>
    <t>PROY. 13. FORTALECIMIENTO Y PROMOCION DE LOS PRINCIPIOS INSTITUCIONALES Y DEL SENTIDO DE IDENTIDAD Y PERTINENCIA</t>
  </si>
  <si>
    <t>10060102</t>
  </si>
  <si>
    <t>Centro Institucional de Memoria Historica</t>
  </si>
  <si>
    <t>PROY. 14. ORGANIZACIÓN, INFRAESTRUCTURA Y FOMENTO DE LA PROYECCIÓN SOCIAL PARA EL DESARROLLO NACIONAL Y REGIONAL</t>
  </si>
  <si>
    <t>PROY. 15. EDUCACION CONTINUADA</t>
  </si>
  <si>
    <t>PROY. 16. SISTEMA DE EGRESADOS E IMPACTO EN EL MEDIO</t>
  </si>
  <si>
    <t>10070104</t>
  </si>
  <si>
    <t>Observatorio para el Posconflicto</t>
  </si>
  <si>
    <t>10070201</t>
  </si>
  <si>
    <t>Educacion continuada Derecho</t>
  </si>
  <si>
    <t>10070202</t>
  </si>
  <si>
    <t>educacion continuada ciencias economicas</t>
  </si>
  <si>
    <t>10070203</t>
  </si>
  <si>
    <t>Educacion continuada Ingenieria</t>
  </si>
  <si>
    <t>10070206</t>
  </si>
  <si>
    <t>Educacion continuada Posgrados Derecho</t>
  </si>
  <si>
    <t>10070207</t>
  </si>
  <si>
    <t>Educación continuada Posgrados Ingeniería</t>
  </si>
  <si>
    <t>10070211</t>
  </si>
  <si>
    <t>Educación continuada Ciencias de la Salud</t>
  </si>
  <si>
    <t>PROY. 17. FORTALECIMIENTO Y DESARROLLO DE LAS RELACIONES INTERISTITUCIONALES</t>
  </si>
  <si>
    <t>PROY. 18. FOMENTO Y APOYO A LA MOVILIDAD Y CUALIFICACIÓN ACADÉMICA E INVESTIGATIVA DE DOCENTES Y ESTUDIANTES</t>
  </si>
  <si>
    <t>PROY. 19. EXPANSIÓN Y CUALIFICACIÓN DE SERVICIOS Y PROGRAMAS DE BIENESTAR INSTITUCIONAL</t>
  </si>
  <si>
    <t>PROY. 20. SISTEMA SIIG</t>
  </si>
  <si>
    <t>PROY. 21. AMPLIACIÓN DEL ALCANCE DEL SISTEMA DE GESTIÓN DE CALIDAD</t>
  </si>
  <si>
    <t>PROY. 22. LA UNIVERSIDAD ORIENTADA AL SERVICIO DE LA COMUNIDAD UNILIBRISTA</t>
  </si>
  <si>
    <t>PROY. 23. SISTEMA INTEGRADO DE GESTIÓN</t>
  </si>
  <si>
    <t>10110107</t>
  </si>
  <si>
    <t>PROY. 24. ORGANIZACIÓN Y GESTIÓN</t>
  </si>
  <si>
    <t>PROY. 25. FUENTES DE FINANCIACIÓN Y ESTRATEGIAS DE FORTALECIMIENTO Y CONTROL FINANCIERO</t>
  </si>
  <si>
    <t>PROY. 26. DESAROLLO DE LA INFRAESTRUCTURA</t>
  </si>
  <si>
    <t>PROY. 27. GESTIÓN DE TIC</t>
  </si>
  <si>
    <t>PROY. 28. MERCADEO E IMAGEN CORPORATIVA</t>
  </si>
  <si>
    <t>1016</t>
  </si>
  <si>
    <t>Proyectos Especiales Pereira</t>
  </si>
  <si>
    <t>10160101</t>
  </si>
  <si>
    <t>Contrato Circulo Virtuoso Fase VII Municipio de Pereira - UTP - UNILIBRE 3884 de 2018</t>
  </si>
  <si>
    <t>10160102</t>
  </si>
  <si>
    <t>Convenio 03 2019 Fase IV mejoramiento de la calidad microbiologica y sanitario - UTP</t>
  </si>
  <si>
    <t>10160103</t>
  </si>
  <si>
    <t>Contrato 3230 de 2019 entre municipio de Pereira y Unilibre Apoyo a la gestión política publica</t>
  </si>
  <si>
    <t>14</t>
  </si>
  <si>
    <t>Proyectos de investigación Pereira</t>
  </si>
  <si>
    <t>1401</t>
  </si>
  <si>
    <t>Fac. Ciencias de la Salud</t>
  </si>
  <si>
    <t>14010101</t>
  </si>
  <si>
    <t>EFECTIVIDAD DE UN PROGRAMA DE INTERVENCION EN INSUFICIENCIA CARDIAGA</t>
  </si>
  <si>
    <t>14010102</t>
  </si>
  <si>
    <t>TERAPIA TRIPLE ESTANDAR COMO PRIMERA LINEA DE TRATAMIENTO PARA LA ERRADICACION DE HELICOBACTER</t>
  </si>
  <si>
    <t>14010103</t>
  </si>
  <si>
    <t>CARACTERIZACION DEL MICROBIOMA DE LA LECHE MATERNA Y DEL INTESTINO EN MADRES Y LACTANTES</t>
  </si>
  <si>
    <t>14010104</t>
  </si>
  <si>
    <t>EFECTO DE UNA DIETA MIXTA SOBRE LA INSULINEMIA Y LIPEMIA POSTPRENDIAL</t>
  </si>
  <si>
    <t>14010105</t>
  </si>
  <si>
    <t>CONSUMO DEL TABACO Y NIVEL DE AFRONTAMIENTO DE LOS PACIENTES HIPERTENSOS ESE SALUD PEREIRA</t>
  </si>
  <si>
    <t>14010106</t>
  </si>
  <si>
    <t>DETERMINANTES SOCIALES EN LACTANCIA MATERNA EXCLUSIVA EN EL MUNICIPIO DE PEREIRA 2017</t>
  </si>
  <si>
    <t>14010107</t>
  </si>
  <si>
    <t>FACTORES ASOCIADOS A LA INFECCION Y/O ENFERMEDD POR HELICOBACTER PYLORI EN PACIENTES DIEPEPTICOS DEL EJE CAFETERO</t>
  </si>
  <si>
    <t>14010108</t>
  </si>
  <si>
    <t>PARTICIPACION DE ESTUDIANTES DE LA BASICA PRIMARIA, MEDIANTE LA APROPIIACION SOCIAL DEL CONOCIMIENTO EN LOS CIUDADANOS Y CONSERVACION DEL AGUA VEREDAL</t>
  </si>
  <si>
    <t>14010109</t>
  </si>
  <si>
    <t>ESTANDARIZACION DE UN METODO MOLECULAR PARA LA DETECCION DE HELICOBACTER PYLORI A PARTIR DE AGUA</t>
  </si>
  <si>
    <t>14010110</t>
  </si>
  <si>
    <t>UN AULA VIVA PARA LA UNIVERSIDAD LIBRE SECCIONAL PEREIRA</t>
  </si>
  <si>
    <t>14010111</t>
  </si>
  <si>
    <t>INHIBICION DE BIOFILMS DE PSEUDOMONA AERUGINOSA POR PARAOXONASA 1 (PON1) BAJO EL POLIMORFISMO Q192R</t>
  </si>
  <si>
    <t>14010112</t>
  </si>
  <si>
    <t>ACTUALIZACION DEL PLAN DE GESTION INTEGRAL DE RESIDUOS DE LA UNIVERSIDAD LIBRE SECC PEREIRA 2018</t>
  </si>
  <si>
    <t>14010113</t>
  </si>
  <si>
    <t>DISEÑAR LA ESTRATEGIA PEDAGÓGICA PARA  LAS MADRES EMBERA CHAMI CON NIÑOS  MENORES DE 5 AÑOS CON IRA</t>
  </si>
  <si>
    <t>14010114</t>
  </si>
  <si>
    <t>Factores Protectores y de Riesgo en Salud mental y Psiquiatría en Estudiantes Universitarios de la Facultad de Ciencias de la Salud de una Institución de educación Superior</t>
  </si>
  <si>
    <t>14010115</t>
  </si>
  <si>
    <t>Valoración y evaluación del riesgo microbiológico de los alimentos expendidos en vía pública en la comuna centro del municipio de Pereira</t>
  </si>
  <si>
    <t>14010116</t>
  </si>
  <si>
    <t>Aislamiento de bacterias de oxidación amoniacal (Nitrosomonas sp.) con propósitos de biocompostaje de subproductos de la caña de azúcar</t>
  </si>
  <si>
    <t>1402</t>
  </si>
  <si>
    <t>Facultad de Derecho</t>
  </si>
  <si>
    <t>14020101</t>
  </si>
  <si>
    <t>APLICACIÓN DE MANUALES Y PROTOCOLOS PARA INVESTIGAR Y DOCUMENTAR LA TORTURA EN EMPSC REGIONAL</t>
  </si>
  <si>
    <t>14020102</t>
  </si>
  <si>
    <t>RUTA UNIVERSITARIA POR EL DESARROLLO SOCIAL, CULTURAL Y LA RECONCILIACION CIUDADANA EN PEREIRA</t>
  </si>
  <si>
    <t>14020103</t>
  </si>
  <si>
    <t>CATEDRA ABIERTA DE INTERCULTURALIDAD EN TERROTORIOS DE PAZ</t>
  </si>
  <si>
    <t>14020104</t>
  </si>
  <si>
    <t>GERENCIANDO LO SOCIAL: UNA MIRADA A LA EDUCACION SUPERIOR INCLUSIVA</t>
  </si>
  <si>
    <t>14020105</t>
  </si>
  <si>
    <t>FORTALECIMIENTO INTEGRAL DE LA ORGANIZACIÓN JUVENIL PARA INCIDIR Y PREVENIR EL FOMENTO DE LA TRATA DE PERSONAS</t>
  </si>
  <si>
    <t>14020106</t>
  </si>
  <si>
    <t>PRACTICAS SOCIALES VIOLENTAS DESDE LAS DINAMICAS DEL CRIMEN ORGANIZADO, UNA PERSPECTIVA DESDE LA RESISTENCIA CASO VILLA SANTANA PEREIRA 2002 AL 2017</t>
  </si>
  <si>
    <t>14020107</t>
  </si>
  <si>
    <t>LA EVENTUAL VULNERABILIDAD DEL ESTADO COLOMBIANO EN EL CONTEXTO DE LA INTEGRACION ECONOMICA REGIONAL: HISTORIA DE LA UNION EUROPEA</t>
  </si>
  <si>
    <t>14020108</t>
  </si>
  <si>
    <t>HISTORIA Y CREACION DEL PROGRAMA DE TRABAJO SOCIAL DE LA UNIVERSIDAD LIBRE EN PEREIRA</t>
  </si>
  <si>
    <t>14020109</t>
  </si>
  <si>
    <t>CARACTERIZACION DE LOS PAISAJES SOCIALES CULTURAKES Y NATURALES DE COMBI PARA SU PROYECCION COMO PAISAJE HIDRICO Y ECO-TURISMO DE RISARALDA</t>
  </si>
  <si>
    <t>14020110</t>
  </si>
  <si>
    <t>Prevención integral de riesgos en entornos educativos: un enfoque interdisciplinario y socio educativo para el análisis de las problemáticas  emergentes en instituciones educativas priorizadas de Pereira</t>
  </si>
  <si>
    <t>14020111</t>
  </si>
  <si>
    <t>Efecto de la competencia política en el desempeño fiscal territorial</t>
  </si>
  <si>
    <t>1403</t>
  </si>
  <si>
    <t>Facultad Ciencias Economicas</t>
  </si>
  <si>
    <t>14030101</t>
  </si>
  <si>
    <t>CARACTIZACION DE LA CIENCIA, TECNOLOGIA E INNOVACION EN LAS GRANDES, MEDIANAS Y PEQUEÑAS EMPRESAS</t>
  </si>
  <si>
    <t>14030102</t>
  </si>
  <si>
    <t>ACTIVIDADES DE INNOVACION, INVESTIGACION Y DESARROLLO EN LAS EMPRESAS GRANDES, MEDIANAS Y PEQUEÑAS EN PEREIRA</t>
  </si>
  <si>
    <t>14030103</t>
  </si>
  <si>
    <t>Factores determinantes de las decisiones financieras de los hogares estratos 1 y 2   de la ciudad de Pereira</t>
  </si>
  <si>
    <t>14030104</t>
  </si>
  <si>
    <t>Rutas de protección reforzada para la atención integral al cuidador de la persona en situación de discapacidad</t>
  </si>
  <si>
    <t>1404</t>
  </si>
  <si>
    <t>Facultad de ingeniería</t>
  </si>
  <si>
    <t>14040101</t>
  </si>
  <si>
    <t>CARACTERIZACIÓN ESTRATIGRÁFICA, FÍSICA Y MECÁNICA DE SUELOS</t>
  </si>
  <si>
    <t>14040102</t>
  </si>
  <si>
    <t>CARACTERIZACION FISICO-MECANICA DE LOS AGREGADOS PETREOS</t>
  </si>
  <si>
    <t>14040103</t>
  </si>
  <si>
    <t>PEDAGOGIA PARA EL DESARROLLO DE LA CULTURA FINANCIERA EN LOS COLEGIOS OFICIALES</t>
  </si>
  <si>
    <t>14040104</t>
  </si>
  <si>
    <t>EVALUACION DE LAS COMPETENCIAS COMUNICATIVAS Y EL PENSAMIENTO CIENTIFICO EN LAS PRUEBAS SABER 11 Y SABER PRO, UNA ESTRATEGIA PEDAGOGICA</t>
  </si>
  <si>
    <t>14040105</t>
  </si>
  <si>
    <t>CARACTERIZACION ESTRATEGICA, FISICA Y MECANICA DE SUELDOS PERTENECIENTES AL SECTOR CERRITOS DE LA CIUDAD DE PEREIRA</t>
  </si>
  <si>
    <t>14040106</t>
  </si>
  <si>
    <t>IMPLEMENTACION Y VALIDACION DE DESEMPEÑO DE UNA PEQUEÑA MESA DE SIMULACION SISMICA</t>
  </si>
  <si>
    <t>14040107</t>
  </si>
  <si>
    <t>Análisis y evaluación de la resistencia al cortante de sitios geotécnicos críticos en el municipio de Pereira y propuesta de monitoreo y seguimiento mediante el uso de SIG</t>
  </si>
  <si>
    <t>1410</t>
  </si>
  <si>
    <t>Proyectos investigación con financiación externa nacional</t>
  </si>
  <si>
    <t>1420</t>
  </si>
  <si>
    <t>Proyectos de investigación  con financiación internacional</t>
  </si>
  <si>
    <t>Proyecto PIDI</t>
  </si>
  <si>
    <t>Cod</t>
  </si>
  <si>
    <t>GASTOS ADMINISTRATIVOS Y ACADÉMICOS</t>
  </si>
  <si>
    <t>GASTOS AUTORIDADES NACIONALES</t>
  </si>
  <si>
    <t>Tipo Ppto</t>
  </si>
  <si>
    <t>Nombre</t>
  </si>
  <si>
    <t>Codigo</t>
  </si>
  <si>
    <t>Gastos Investigacion</t>
  </si>
  <si>
    <t>(Arrend.) Acueductos Plantas y Redes</t>
  </si>
  <si>
    <t>(Arrend.) Construcciones Y Edificaciones</t>
  </si>
  <si>
    <t>(Arrend.) De Terrenos</t>
  </si>
  <si>
    <t>(Arrend.) Equipo de Computo</t>
  </si>
  <si>
    <t>(Arrend.) Equipo Medico y de Laboratorio</t>
  </si>
  <si>
    <t>(Arrend.) Flota y Equipo de Transporte</t>
  </si>
  <si>
    <t>(Arrend.) Maquinaria y Equipo</t>
  </si>
  <si>
    <t>(Arrend.) Muebles y Equipo de Oficina</t>
  </si>
  <si>
    <t>(Arrend.) Otros Arrendamientos</t>
  </si>
  <si>
    <t>(Arrend.) Telecomunicaciones Y Radio</t>
  </si>
  <si>
    <t>(capacit bienestar social y estimulos) Capacitacion Personal Administrativo</t>
  </si>
  <si>
    <t>(contri y afi) Afiliaciones Y Sostenimiento</t>
  </si>
  <si>
    <t>(contri y afi) Contribuciones</t>
  </si>
  <si>
    <t>(docentes sin vinculo laboral) Docentes</t>
  </si>
  <si>
    <t>(eventos culturales) Actividades Culturales y Cívicas</t>
  </si>
  <si>
    <t>(eventos culturales) Actividades Deportivas</t>
  </si>
  <si>
    <t>(eventos culturales) Eventos Especiales Y Celebraciones</t>
  </si>
  <si>
    <t>(eventos culturales) Gastos Ceremoniales de Grado</t>
  </si>
  <si>
    <t>(fotocopias y papeleria) Diplomas</t>
  </si>
  <si>
    <t>(fotocopias y papeleria) Utiles Papeleria y Fotocopias</t>
  </si>
  <si>
    <t>(gastos convenios) Gastos Convenios</t>
  </si>
  <si>
    <t>(Gtos de Viaje) Alojamiento Y Manutencion - Viaticos</t>
  </si>
  <si>
    <t>(Gtos de Viaje) Pasajaes Terrestres</t>
  </si>
  <si>
    <t>(Gtos de Viaje) Pasajes Aereos</t>
  </si>
  <si>
    <t>(gastos de representacion) Gastos de Representacion</t>
  </si>
  <si>
    <t>(gtos legales) Notariales</t>
  </si>
  <si>
    <t>(gtos legales) Tramites y Licencias</t>
  </si>
  <si>
    <t>(Hon) Asesoria Financiera</t>
  </si>
  <si>
    <t>(Hon) Asesoria Juridica</t>
  </si>
  <si>
    <t>(Hon) Asesoria Técnica</t>
  </si>
  <si>
    <t>(Imptos) Estampillas Pro Hospital Universitario</t>
  </si>
  <si>
    <t>(Imptos) Estampillas Procultura</t>
  </si>
  <si>
    <t>(Imptos) Estampillas Pro-Dot y Des Tercera Edad</t>
  </si>
  <si>
    <t>(Imptos) Industria y Comercio</t>
  </si>
  <si>
    <t>(Imptos) Propiedad Raiz</t>
  </si>
  <si>
    <t>(Imptos) Timbres</t>
  </si>
  <si>
    <t>(Imptos) Valorizacion</t>
  </si>
  <si>
    <t>(Imptos) Vehiculos</t>
  </si>
  <si>
    <t>(inversiones) Activos menores (2) Salarios minimos</t>
  </si>
  <si>
    <t>(Mante. y Repa) Acueductos Plantas y Redes</t>
  </si>
  <si>
    <t>(Mante. y Repa) Arreglos Ornamentales</t>
  </si>
  <si>
    <t>(Mante. y Repa) Construcciones Y Edificaciones</t>
  </si>
  <si>
    <t>(Mante. y Repa) De Terrenos</t>
  </si>
  <si>
    <t>(Mante. y Repa) Equipo de Computo</t>
  </si>
  <si>
    <t>(Mante. y Repa) Equipo Medico y de Laboratorio</t>
  </si>
  <si>
    <t>(Mante. y Repa) Flota y Equipo de Transporte</t>
  </si>
  <si>
    <t>(Mante. y Repa) Maquinaria y Equipo</t>
  </si>
  <si>
    <t>(Mante. y Repa) Muebles y Equipo de Oficina</t>
  </si>
  <si>
    <t>(Mante. y Repa) Otros Mantenimientos y Reparaciones</t>
  </si>
  <si>
    <t>(Mante. y Repa) Repaciones Locativas</t>
  </si>
  <si>
    <t>(Mante. y Repa) Telecomunicaciones Y Radio</t>
  </si>
  <si>
    <t>(Materia y Sumi) Armamento De Vigilancia</t>
  </si>
  <si>
    <t>(Materia y Sumi) Banderas Y Escudos</t>
  </si>
  <si>
    <t>(Materia y Sumi) Elementos de Computador Y Telecomunicaio</t>
  </si>
  <si>
    <t>(Materia y Sumi) Elementos de Ferreteria</t>
  </si>
  <si>
    <t>(Materia y Sumi) Elementos de Fotografia Y Audiovisuales</t>
  </si>
  <si>
    <t>(Materia y Sumi) Elementos de Imprenta</t>
  </si>
  <si>
    <t>(Materia y Sumi) Elementos de Lenceria Y Roperia</t>
  </si>
  <si>
    <t>(Materia y Sumi) Elementos Electricos Y Electronicos</t>
  </si>
  <si>
    <t>(Materia y Sumi) Emvases y Empaques</t>
  </si>
  <si>
    <t>(Materia y Sumi) Herramientas</t>
  </si>
  <si>
    <t>(Materia y Sumi) Repuestos en General</t>
  </si>
  <si>
    <t>(gtos generales) Combustibles y lubricantes</t>
  </si>
  <si>
    <t>(gtos generales) Correo Porte y Telegramas</t>
  </si>
  <si>
    <t>(gtos generales) Fondo de Sostenibilidad Icetex</t>
  </si>
  <si>
    <t>(gtos generales) Gastos Funebres</t>
  </si>
  <si>
    <t>(gtos generales) Gastos Medicos y Drogas</t>
  </si>
  <si>
    <t>(gtos generales) Obsequios Premios y Distinciones</t>
  </si>
  <si>
    <t>(gtos generales) Parqueaderos</t>
  </si>
  <si>
    <t>(gtos generales) Taxis y Buses</t>
  </si>
  <si>
    <t>(seguridad industrial) Seguridad Induatrial y Señalizaciones</t>
  </si>
  <si>
    <t>(seguros) Corriente Debil</t>
  </si>
  <si>
    <t>(seguros) Cumplimiento</t>
  </si>
  <si>
    <t>(seguros) Flota y Equipo de Transporte</t>
  </si>
  <si>
    <t>(seguros) Incendio</t>
  </si>
  <si>
    <t>(seguros) Lucro Cesante</t>
  </si>
  <si>
    <t>(seguros) Manejo</t>
  </si>
  <si>
    <t>(seguros) Obligatorio de Accidente</t>
  </si>
  <si>
    <t>(seguros) Otros Seguros</t>
  </si>
  <si>
    <t xml:space="preserve">(seguros) Poliza Estudiantil    </t>
  </si>
  <si>
    <t>(seguros) Responsabilidad Civil</t>
  </si>
  <si>
    <t>(seguros) Rotura de Maquina</t>
  </si>
  <si>
    <t>(seguros) Sustraccion y Hurto</t>
  </si>
  <si>
    <t>(seguros) Terremoto</t>
  </si>
  <si>
    <t>(seguros) Transporte de Mercancia</t>
  </si>
  <si>
    <t>(Serv. aseo y cafeteria) Casino Y Restaurante</t>
  </si>
  <si>
    <t>(Serv. aseo y cafeteria) Servicios de Aseo</t>
  </si>
  <si>
    <t>(servicios de aseo lavanderia y cafeteria) Elemetos de Aseo y Cafeteria</t>
  </si>
  <si>
    <t>(Serv. publicos) Acueducto Y Alcantarillado</t>
  </si>
  <si>
    <t>(Serv. publicos) Aseo</t>
  </si>
  <si>
    <t>(Serv. publicos) Energia Electrica</t>
  </si>
  <si>
    <t>(Serv. publicos) Gas</t>
  </si>
  <si>
    <t>(Serv. publicos) Internet</t>
  </si>
  <si>
    <t>(Serv. publicos) Telefono</t>
  </si>
  <si>
    <t>(Serv. publicos) Telefono Celular</t>
  </si>
  <si>
    <t>(Serv. publicos) Tv Satelital</t>
  </si>
  <si>
    <t>(Serv. Tecn)Asistencia Tenica</t>
  </si>
  <si>
    <t>(Serv. Tecn)Encuadernacion Y Empaste</t>
  </si>
  <si>
    <t>(Serv. Tecn)Grabacion y Produccion</t>
  </si>
  <si>
    <t>(Serv. Tecn)Inhumacion de Cadaveres</t>
  </si>
  <si>
    <t>(Serv. Tecn)Instructores - Talleristas de Bienestar</t>
  </si>
  <si>
    <t>(Serv. Tecn)Microfilmacion</t>
  </si>
  <si>
    <t>(Serv. Tecn)Musica Ambiental</t>
  </si>
  <si>
    <t>(Serv. Tecn)Otros</t>
  </si>
  <si>
    <t>(Serv. Tecn)Procesamiento Electronico de Datos</t>
  </si>
  <si>
    <t>(Serv. Tecn)Publicidad Y Propaganda</t>
  </si>
  <si>
    <t>(Serv. Tecn)Seguridad y Vigilancia</t>
  </si>
  <si>
    <t>(Serv. Tecn)Transporte Fletes Y Acarreos</t>
  </si>
  <si>
    <t>(temporales) Capacitacion a Docentes</t>
  </si>
  <si>
    <t>(temporales) Temporales</t>
  </si>
  <si>
    <t>Gastos No Operacionales</t>
  </si>
  <si>
    <t>(Financieros) Comisiones</t>
  </si>
  <si>
    <t>(Financieros) Descuentos comerciales condicionados</t>
  </si>
  <si>
    <t>(Financieros) Diferencia en cambio</t>
  </si>
  <si>
    <t>(Financieros) Gastos bancarios</t>
  </si>
  <si>
    <t>(Financieros) Gmf.gravamen movimientos financieros</t>
  </si>
  <si>
    <t>(Financieros) Gtos en negociación certific de cambio</t>
  </si>
  <si>
    <t>(Financieros) Intereses</t>
  </si>
  <si>
    <t>(Financieros) Otros</t>
  </si>
  <si>
    <t>(Financieros) Reajuste monetario upac - uvr</t>
  </si>
  <si>
    <t>(Gastos Diversos) Aportes a autoridades nacionales</t>
  </si>
  <si>
    <t>(Gastos Diversos) Beca Egresados</t>
  </si>
  <si>
    <t>(Gastos Diversos) Becas - Convencion Colectiva</t>
  </si>
  <si>
    <t>(Gastos Diversos) Becas Autoridades Nacionales</t>
  </si>
  <si>
    <t>(Gastos Diversos) Becas Autoridades Nacionales Bogota</t>
  </si>
  <si>
    <t>(Gastos Diversos) Becas Movilidad Estudiantil</t>
  </si>
  <si>
    <t>(Gastos Diversos) Demandas laborales</t>
  </si>
  <si>
    <t>(Gastos Diversos) Demandas por incumplimiento de contrato</t>
  </si>
  <si>
    <t>(Gastos Diversos) Donaciones</t>
  </si>
  <si>
    <t>(Gastos Diversos) Hacienda Majavita</t>
  </si>
  <si>
    <t>(Gastos Diversos) Impuestos Asumidos</t>
  </si>
  <si>
    <t>(Gastos Diversos) iNDEMNIZACIONES</t>
  </si>
  <si>
    <t>(Gastos Diversos) Multas,sanciones y litigios</t>
  </si>
  <si>
    <t>(Gastos Diversos) Otros</t>
  </si>
  <si>
    <t>(Gastos Extraordinarios) Actividades culturales y civicas</t>
  </si>
  <si>
    <t>(Gastos Extraordinarios) Ajuste al peso</t>
  </si>
  <si>
    <t>(Gastos Extraordinarios) Biblioteca años anteriores (amortizac)</t>
  </si>
  <si>
    <t>(Gastos Extraordinarios) Costas y  procesos judiciales</t>
  </si>
  <si>
    <t>(Gastos Extraordinarios) COSTOS Y GASTOS DE EJERCICIOS ANTERIORES</t>
  </si>
  <si>
    <t>(Gastos Extraordinarios) Impuestos asumidos</t>
  </si>
  <si>
    <t>(Gastos Extraordinarios) MATRICULAS PERIODOS ANTERIORES</t>
  </si>
  <si>
    <t>(Gastos Extraordinarios) Otros</t>
  </si>
  <si>
    <t>Gastos Posgrados</t>
  </si>
  <si>
    <t>(becas autoridades) Becas Consiliatura</t>
  </si>
  <si>
    <t>(becas autoridades) Becas Sala General</t>
  </si>
  <si>
    <t>(becas autoridades) Becas Sinties Beneficiario Intersecciona</t>
  </si>
  <si>
    <t>(becas sinties beneficiario intersecciona) Capacitacion a Docentes</t>
  </si>
  <si>
    <t>(becas sinties beneficiario intersecciona) Temporales</t>
  </si>
  <si>
    <t>(capacit bienestar social y estimulos) Becas Sinties Beneficiario Intersecciona</t>
  </si>
  <si>
    <t>(capacitacion a docentes) Gastos de Representacion</t>
  </si>
  <si>
    <t>(seguros) Poliza Estudiantil</t>
  </si>
  <si>
    <t xml:space="preserve">(Arrend.) Acueductos Plantas y Redes </t>
  </si>
  <si>
    <t xml:space="preserve">(Arrend.) Construcciones Y Edificaciones </t>
  </si>
  <si>
    <t xml:space="preserve">(Arrend.) De Terrenos </t>
  </si>
  <si>
    <t xml:space="preserve">(Arrend.) Equipo de Computo </t>
  </si>
  <si>
    <t xml:space="preserve">(Arrend.) Equipo Medico y de Laboratorio </t>
  </si>
  <si>
    <t xml:space="preserve">(Arrend.) Flota y Equipo de Transporte  </t>
  </si>
  <si>
    <t xml:space="preserve">(Arrend.) Maquinaria y Equipo  </t>
  </si>
  <si>
    <t xml:space="preserve">(Arrend.) Muebles y Equipo de Oficina  </t>
  </si>
  <si>
    <t xml:space="preserve">(Arrend.) Otros Arrendamientos  </t>
  </si>
  <si>
    <t xml:space="preserve">(Arrend.) Telecomunicaciones Y Radio  </t>
  </si>
  <si>
    <t xml:space="preserve">(becas autoridades) Becas Consiliatura </t>
  </si>
  <si>
    <t xml:space="preserve">(becas autoridades) Becas Sala General </t>
  </si>
  <si>
    <t xml:space="preserve">(becas autoridades) Becas Sinties Beneficiario Intersecciona </t>
  </si>
  <si>
    <t xml:space="preserve">(capacit bienestar social y estimulos) Becas Sinties Beneficiario Intersecciona </t>
  </si>
  <si>
    <t xml:space="preserve">(capacit bienestar social y estimulos) Capacitacion Personal Administrativo </t>
  </si>
  <si>
    <t xml:space="preserve">(contri y afi) Afiliaciones Y Sostenimiento </t>
  </si>
  <si>
    <t xml:space="preserve">(contri y afi) Contribuciones </t>
  </si>
  <si>
    <t xml:space="preserve">(docentes sin vinculo laboral) Docentes </t>
  </si>
  <si>
    <t xml:space="preserve">(eventos culturales) Actividades Culturales y Cívicas </t>
  </si>
  <si>
    <t xml:space="preserve">(eventos culturales) Actividades Deportivas </t>
  </si>
  <si>
    <t xml:space="preserve">(eventos culturales) Eventos Especiales Y Celebraciones </t>
  </si>
  <si>
    <t xml:space="preserve">(eventos culturales) Gastos Ceremoniales de Grado </t>
  </si>
  <si>
    <t xml:space="preserve">(fotocopias y papeleria) Diplomas </t>
  </si>
  <si>
    <t xml:space="preserve">(fotocopias y papeleria) Utiles Papeleria y Fotocopias </t>
  </si>
  <si>
    <t xml:space="preserve">(gastos convenios) Gastos Convenios </t>
  </si>
  <si>
    <t xml:space="preserve">(Gtos de Viaje) Alojamiento Y Manutencion - Viaticos </t>
  </si>
  <si>
    <t xml:space="preserve">(Gtos de Viaje) Pasajaes Terrestres </t>
  </si>
  <si>
    <t xml:space="preserve">(Gtos de Viaje) Pasajes Aereos </t>
  </si>
  <si>
    <t xml:space="preserve">(gastos de representacion) Gastos de Representacion </t>
  </si>
  <si>
    <t xml:space="preserve">(gtos legales) Notariales </t>
  </si>
  <si>
    <t xml:space="preserve">(gtos legales) Tramites y Licencias </t>
  </si>
  <si>
    <t xml:space="preserve">(Hon) Asesoria Financiera </t>
  </si>
  <si>
    <t xml:space="preserve">(Hon) Asesoria Juridica </t>
  </si>
  <si>
    <t xml:space="preserve">(Hon) Asesoria Técnica </t>
  </si>
  <si>
    <t xml:space="preserve">(Imptos) Estampillas Pro Hospital Universitario </t>
  </si>
  <si>
    <t xml:space="preserve">(Imptos) Estampillas Procultura </t>
  </si>
  <si>
    <t xml:space="preserve">(Imptos) Estampillas Pro-Dot y Des Tercera Edad </t>
  </si>
  <si>
    <t xml:space="preserve">(Imptos) Industria y Comercio </t>
  </si>
  <si>
    <t xml:space="preserve">(Imptos) Propiedad Raiz </t>
  </si>
  <si>
    <t xml:space="preserve">(Imptos) Timbres </t>
  </si>
  <si>
    <t xml:space="preserve">(Imptos) Valorizacion </t>
  </si>
  <si>
    <t xml:space="preserve">(Imptos) Vehiculos </t>
  </si>
  <si>
    <t xml:space="preserve">(inversiones) Activos menores (2) Salarios minimos </t>
  </si>
  <si>
    <t xml:space="preserve">(Mante. y Repa) Acueductos Plantas y Redes </t>
  </si>
  <si>
    <t xml:space="preserve">(Mante. y Repa) Arreglos Ornamentales </t>
  </si>
  <si>
    <t xml:space="preserve">(Mante. y Repa) Construcciones Y Edificaciones </t>
  </si>
  <si>
    <t xml:space="preserve">(Mante. y Repa) De Terrenos </t>
  </si>
  <si>
    <t xml:space="preserve">(Mante. y Repa) Equipo de Computo </t>
  </si>
  <si>
    <t xml:space="preserve">(Mante. y Repa) Equipo Medico y de Laboratorio </t>
  </si>
  <si>
    <t xml:space="preserve">(Mante. y Repa) Flota y Equipo de Transporte </t>
  </si>
  <si>
    <t xml:space="preserve">(Mante. y Repa) Maquinaria y Equipo </t>
  </si>
  <si>
    <t xml:space="preserve">(Mante. y Repa) Muebles y Equipo de Oficina </t>
  </si>
  <si>
    <t xml:space="preserve">(Mante. y Repa) Otros Mantenimientos y Reparaciones </t>
  </si>
  <si>
    <t xml:space="preserve">(Mante. y Repa) Repaciones Locativas </t>
  </si>
  <si>
    <t xml:space="preserve">(Mante. y Repa) Telecomunicaciones Y Radio </t>
  </si>
  <si>
    <t xml:space="preserve">(Materia y Sumi) Armamento De Vigilancia </t>
  </si>
  <si>
    <t xml:space="preserve">(Materia y Sumi) Banderas Y Escudos </t>
  </si>
  <si>
    <t xml:space="preserve">(Materia y Sumi) Elementos de Computador Y Telecomunicaio </t>
  </si>
  <si>
    <t xml:space="preserve">(Materia y Sumi) Elementos de Ferreteria </t>
  </si>
  <si>
    <t xml:space="preserve">(Materia y Sumi) Elementos de Fotografia Y Audiovisuales </t>
  </si>
  <si>
    <t xml:space="preserve">(Materia y Sumi) Elementos de Imprenta </t>
  </si>
  <si>
    <t xml:space="preserve">(Materia y Sumi) Elementos de Lenceria Y Roperia </t>
  </si>
  <si>
    <t xml:space="preserve">(Materia y Sumi) Elementos Electricos Y Electronicos </t>
  </si>
  <si>
    <t xml:space="preserve">(Materia y Sumi) Emvases y Empaques </t>
  </si>
  <si>
    <t xml:space="preserve">(Materia y Sumi) Herramientas </t>
  </si>
  <si>
    <t xml:space="preserve">(Materia y Sumi) Repuestos en General </t>
  </si>
  <si>
    <t xml:space="preserve">(gtos generales) Combustibles y lubricantes </t>
  </si>
  <si>
    <t xml:space="preserve">(gtos generales) Correo Porte y Telegramas </t>
  </si>
  <si>
    <t xml:space="preserve">(gtos generales) Fondo de Sostenibilidad Icetex </t>
  </si>
  <si>
    <t xml:space="preserve">(gtos generales) Gastos Funebres </t>
  </si>
  <si>
    <t xml:space="preserve">(gtos generales) Gastos Medicos y Drogas </t>
  </si>
  <si>
    <t xml:space="preserve">(gtos generales) Obsequios Premios y Distinciones </t>
  </si>
  <si>
    <t xml:space="preserve">(gtos generales) Parqueaderos </t>
  </si>
  <si>
    <t xml:space="preserve">(gtos generales) Taxis y Buses </t>
  </si>
  <si>
    <t xml:space="preserve">(seguridad industrial) Seguridad Induatrial y Señalizaciones </t>
  </si>
  <si>
    <t xml:space="preserve">(seguros) Corriente Debil </t>
  </si>
  <si>
    <t xml:space="preserve">(seguros) Cumplimiento </t>
  </si>
  <si>
    <t xml:space="preserve">(seguros) Flota y Equipo de Transporte </t>
  </si>
  <si>
    <t xml:space="preserve">(seguros) Incendio </t>
  </si>
  <si>
    <t xml:space="preserve">(seguros) Lucro Cesante </t>
  </si>
  <si>
    <t xml:space="preserve">(seguros) Manejo </t>
  </si>
  <si>
    <t xml:space="preserve">(seguros) Obligatorio de Accidente </t>
  </si>
  <si>
    <t xml:space="preserve">(seguros) Otros Seguros </t>
  </si>
  <si>
    <t xml:space="preserve">(seguros) Poliza Estudiantil </t>
  </si>
  <si>
    <t xml:space="preserve">(seguros) Responsabilidad Civil </t>
  </si>
  <si>
    <t xml:space="preserve">(seguros) Rotura de Maquina </t>
  </si>
  <si>
    <t xml:space="preserve">(seguros) Sustraccion y Hurto </t>
  </si>
  <si>
    <t xml:space="preserve">(seguros) Terremoto </t>
  </si>
  <si>
    <t xml:space="preserve">(seguros) Transporte de Mercancia </t>
  </si>
  <si>
    <t>(Seguros) Aportes ARL</t>
  </si>
  <si>
    <t xml:space="preserve">(Serv. aseo y cafeteria) Casino Y Restaurante </t>
  </si>
  <si>
    <t xml:space="preserve">(Serv. aseo y cafeteria) Servicios de Aseo </t>
  </si>
  <si>
    <t xml:space="preserve">(servicios de aseo lavanderia y cafeteria) Elemetos de Aseo y Cafeteria </t>
  </si>
  <si>
    <t xml:space="preserve">(Serv. publicos) Acueducto Y Alcantarillado </t>
  </si>
  <si>
    <t xml:space="preserve">(Serv. publicos) Aseo </t>
  </si>
  <si>
    <t xml:space="preserve">(Serv. publicos) Energia Electrica </t>
  </si>
  <si>
    <t xml:space="preserve">(Serv. publicos) Gas </t>
  </si>
  <si>
    <t xml:space="preserve">(Serv. publicos) Internet </t>
  </si>
  <si>
    <t xml:space="preserve">(Serv. publicos) Telefono </t>
  </si>
  <si>
    <t xml:space="preserve">(Serv. publicos) Telefono Celular </t>
  </si>
  <si>
    <t xml:space="preserve">(Serv. publicos) Tv Satelital </t>
  </si>
  <si>
    <t xml:space="preserve">(Serv. Tecn)Asistencia Tenica </t>
  </si>
  <si>
    <t xml:space="preserve">(Serv. Tecn)Encuadernacion Y Empaste </t>
  </si>
  <si>
    <t xml:space="preserve">(Serv. Tecn)Grabacion y Produccion </t>
  </si>
  <si>
    <t xml:space="preserve">(Serv. Tecn)Inhumacion de Cadaveres </t>
  </si>
  <si>
    <t xml:space="preserve">(Serv. Tecn)Instructores - Talleristas de Bienestar </t>
  </si>
  <si>
    <t xml:space="preserve">(Serv. Tecn)Microfilmacion </t>
  </si>
  <si>
    <t xml:space="preserve">(Serv. Tecn)Musica Ambiental </t>
  </si>
  <si>
    <t xml:space="preserve">(Serv. Tecn)Otros </t>
  </si>
  <si>
    <t xml:space="preserve">(Serv. Tecn)Procesamiento Electronico de Datos </t>
  </si>
  <si>
    <t xml:space="preserve">(Serv. Tecn)Publicidad Y Propaganda </t>
  </si>
  <si>
    <t xml:space="preserve">(Serv. Tecn)Seguridad y Vigilancia </t>
  </si>
  <si>
    <t xml:space="preserve">(Serv. Tecn)Transporte Fletes Y Acarreos </t>
  </si>
  <si>
    <t xml:space="preserve">(temporales) Capacitacion a Docentes </t>
  </si>
  <si>
    <t xml:space="preserve">(temporales) Temporales </t>
  </si>
  <si>
    <t>Inversiones</t>
  </si>
  <si>
    <t>(inversiones) Acueducto, Acequias y Canalizaciones</t>
  </si>
  <si>
    <t>(inversiones) Armamento de Vigilancia</t>
  </si>
  <si>
    <t>(inversiones) Autos Camionetas y Camperos</t>
  </si>
  <si>
    <t>(inversiones) Bibliotecas</t>
  </si>
  <si>
    <t>(inversiones) Colegios y Escuelas</t>
  </si>
  <si>
    <t>(inversiones) Construcciones y Edificaciones</t>
  </si>
  <si>
    <t>(inversiones) Cultivos en Desarrollo</t>
  </si>
  <si>
    <t>(inversiones) Edificios</t>
  </si>
  <si>
    <t>(inversiones) Elementos Coreograficos</t>
  </si>
  <si>
    <t>(inversiones) Elementos de Museo</t>
  </si>
  <si>
    <t>(inversiones) Equipo Agropecuario de Silvicultura Avic</t>
  </si>
  <si>
    <t>(inversiones) Equipo de Aseo</t>
  </si>
  <si>
    <t>(inversiones) Equipo de Ayuda Audiovisual</t>
  </si>
  <si>
    <t>(inversiones) Equipo de construcción</t>
  </si>
  <si>
    <t>(inversiones) Equipo de Enseñanza</t>
  </si>
  <si>
    <t>(inversiones) Equipo de Seguridad y Rescate</t>
  </si>
  <si>
    <t>(inversiones) Equipo de Telecomunicaciones</t>
  </si>
  <si>
    <t>(inversiones) Equipos</t>
  </si>
  <si>
    <t>(inversiones) Equipos de Radio</t>
  </si>
  <si>
    <t>(inversiones) Equipos Industriales</t>
  </si>
  <si>
    <t>(inversiones) Equipos Por Procesamiento de Datos</t>
  </si>
  <si>
    <t>(inversiones) Escudos y Banderas</t>
  </si>
  <si>
    <t>(inversiones) Ganado Vacuno</t>
  </si>
  <si>
    <t>(inversiones) Herramientas y Accesorios</t>
  </si>
  <si>
    <t>(inversiones) Instalaciones para Agua y Energia</t>
  </si>
  <si>
    <t>(inversiones) Instrumental</t>
  </si>
  <si>
    <t>(inversiones) Instrumentos Musicales</t>
  </si>
  <si>
    <t>(inversiones) Laboratorio</t>
  </si>
  <si>
    <t>(inversiones) Líneas Telefónicas</t>
  </si>
  <si>
    <t>(inversiones) Maquinaria y Equipo</t>
  </si>
  <si>
    <t>(inversiones) Médico</t>
  </si>
  <si>
    <t>(inversiones) Monumentos</t>
  </si>
  <si>
    <t>(inversiones) Muebles y Enseres</t>
  </si>
  <si>
    <t>(inversiones) Obras de Arte</t>
  </si>
  <si>
    <t>(inversiones) Odontològico</t>
  </si>
  <si>
    <t>(inversiones) Oficinas</t>
  </si>
  <si>
    <t>(inversiones) Otros</t>
  </si>
  <si>
    <t>(inversiones) Otros Bienes de Arte y Cultura</t>
  </si>
  <si>
    <t>(inversiones) Plantas de Generacion Diesel, Gasolina</t>
  </si>
  <si>
    <t>(inversiones) Plantas de Generacion Hidraulica</t>
  </si>
  <si>
    <t>(inversiones) Plantas de Telecomunicacion</t>
  </si>
  <si>
    <t>(inversiones) Redes de Distribucion</t>
  </si>
  <si>
    <t>(inversiones) Rurales</t>
  </si>
  <si>
    <t>(inversiones) Urbanos</t>
  </si>
  <si>
    <t>Inversiones Invest</t>
  </si>
  <si>
    <t xml:space="preserve">(inversiones) Alojamiento Y Manutencion - Viaticos al </t>
  </si>
  <si>
    <t xml:space="preserve">(inversiones) Becas Egresados </t>
  </si>
  <si>
    <t xml:space="preserve">(inversiones) Capacitacion a Docentes </t>
  </si>
  <si>
    <t xml:space="preserve">(inversiones) Capacitacion Estudiantes Congresos Simpo </t>
  </si>
  <si>
    <t xml:space="preserve">(inversiones) Elementos deportivos </t>
  </si>
  <si>
    <t xml:space="preserve">(inversiones) Instrumentos musicales </t>
  </si>
  <si>
    <t xml:space="preserve">(inversiones) Libros </t>
  </si>
  <si>
    <t xml:space="preserve">(inversiones) Material Didactico </t>
  </si>
  <si>
    <t xml:space="preserve">(inversiones) Obras De Arte Y Elementos De Museo </t>
  </si>
  <si>
    <t xml:space="preserve">(inversiones) Pasajes Aereos - Al Exterior </t>
  </si>
  <si>
    <t xml:space="preserve">(inversiones) Programas para Computacion Sotfware </t>
  </si>
  <si>
    <t xml:space="preserve">(inversiones) Publicaciones </t>
  </si>
  <si>
    <t xml:space="preserve">(inversiones) Reactivos y Elementos de laboratorio </t>
  </si>
  <si>
    <t xml:space="preserve">(inversiones) Suscripciones Periodicos y revistas </t>
  </si>
  <si>
    <t xml:space="preserve">(inversiones) Suscripiones en Bases de Datos </t>
  </si>
  <si>
    <t xml:space="preserve">(inversiones) Vestuarios y Uniformes </t>
  </si>
  <si>
    <t>Inversiones Pos</t>
  </si>
  <si>
    <t xml:space="preserve">(inversiones) Alojamiento Y Manutencion - Viaticos al  </t>
  </si>
  <si>
    <t xml:space="preserve">(inversiones) Becas Egresados  </t>
  </si>
  <si>
    <t xml:space="preserve">(inversiones) Capacitacion a Docentes  </t>
  </si>
  <si>
    <t xml:space="preserve">(inversiones) Capacitacion Estudiantes Congresos Simpo  </t>
  </si>
  <si>
    <t xml:space="preserve">(inversiones) Elementos deportivos  </t>
  </si>
  <si>
    <t xml:space="preserve">(inversiones) Instrumentos musicales  </t>
  </si>
  <si>
    <t xml:space="preserve">(inversiones) Libros  </t>
  </si>
  <si>
    <t xml:space="preserve">(inversiones) Material Didactico  </t>
  </si>
  <si>
    <t xml:space="preserve">(inversiones) Obras De Arte Y Elementos De Museo  </t>
  </si>
  <si>
    <t xml:space="preserve">(inversiones) Pasajes Aereos - Al Exterior  </t>
  </si>
  <si>
    <t xml:space="preserve">(inversiones) Programas para Computacion Sotfware  </t>
  </si>
  <si>
    <t xml:space="preserve">(inversiones) Publicaciones  </t>
  </si>
  <si>
    <t xml:space="preserve">(inversiones) Reactivos y Elementos de laboratorio  </t>
  </si>
  <si>
    <t xml:space="preserve">(inversiones) Suscripciones Periodicos y revistas  </t>
  </si>
  <si>
    <t xml:space="preserve">(inversiones) Suscripiones en Bases de Datos  </t>
  </si>
  <si>
    <t xml:space="preserve">(inversiones) Vestuarios y Uniformes  </t>
  </si>
  <si>
    <t>Inversiones Pre</t>
  </si>
  <si>
    <t xml:space="preserve">(inversiones) Alojamiento Y Manutencion - Viaticos al   </t>
  </si>
  <si>
    <t xml:space="preserve">(inversiones) Becas Egresados   </t>
  </si>
  <si>
    <t xml:space="preserve">(inversiones) Capacitacion a Docentes   </t>
  </si>
  <si>
    <t xml:space="preserve">(inversiones) Capacitacion Estudiantes Congresos Simpo   </t>
  </si>
  <si>
    <t xml:space="preserve">(inversiones) Elementos deportivos   </t>
  </si>
  <si>
    <t xml:space="preserve">(inversiones) Instrumentos musicales   </t>
  </si>
  <si>
    <t xml:space="preserve">(inversiones) Libros   </t>
  </si>
  <si>
    <t xml:space="preserve">(inversiones) Material Didactico   </t>
  </si>
  <si>
    <t xml:space="preserve">(inversiones) Obras De Arte Y Elementos De Museo   </t>
  </si>
  <si>
    <t xml:space="preserve">(inversiones) Pasajes Aereos - Al Exterior   </t>
  </si>
  <si>
    <t xml:space="preserve">(inversiones) Programas para Computacion Sotfware   </t>
  </si>
  <si>
    <t xml:space="preserve">(inversiones) Publicaciones   </t>
  </si>
  <si>
    <t xml:space="preserve">(inversiones) Reactivos y Elementos de laboratorio   </t>
  </si>
  <si>
    <t xml:space="preserve">(inversiones) Suscripciones Periodicos y revistas   </t>
  </si>
  <si>
    <t xml:space="preserve">(inversiones) Suscripiones en Bases de Datos   </t>
  </si>
  <si>
    <t xml:space="preserve">(inversiones) Vestuarios y Uniformes   </t>
  </si>
  <si>
    <t>Investiones Ext</t>
  </si>
  <si>
    <t xml:space="preserve">(inversiones) Alojamiento Y Manutencion - Viaticos al    </t>
  </si>
  <si>
    <t xml:space="preserve">(inversiones) Becas Egresados    </t>
  </si>
  <si>
    <t xml:space="preserve">(inversiones) Capacitacion a Docentes    </t>
  </si>
  <si>
    <t xml:space="preserve">(inversiones) Capacitacion Estudiantes Congresos Simpo    </t>
  </si>
  <si>
    <t xml:space="preserve">(inversiones) Elementos deportivos    </t>
  </si>
  <si>
    <t xml:space="preserve">(inversiones) Instrumentos musicales    </t>
  </si>
  <si>
    <t xml:space="preserve">(inversiones) Libros    </t>
  </si>
  <si>
    <t xml:space="preserve">(inversiones) Material Didactico    </t>
  </si>
  <si>
    <t xml:space="preserve">(inversiones) Obras De Arte Y Elementos De Museo    </t>
  </si>
  <si>
    <t xml:space="preserve">(inversiones) Pasajes Aereos - Al Exterior    </t>
  </si>
  <si>
    <t xml:space="preserve">(inversiones) Programas para Computacion Sotfware    </t>
  </si>
  <si>
    <t xml:space="preserve">(inversiones) Publicaciones    </t>
  </si>
  <si>
    <t xml:space="preserve">(inversiones) Reactivos y Elementos de laboratorio    </t>
  </si>
  <si>
    <t xml:space="preserve">(inversiones) Suscripciones Periodicos y revistas    </t>
  </si>
  <si>
    <t xml:space="preserve">(inversiones) Suscripiones en Bases de Datos    </t>
  </si>
  <si>
    <t xml:space="preserve">(inversiones) Vestuarios y Uniformes    </t>
  </si>
  <si>
    <t>(Inversiones) Estimulo a la Producción Académica</t>
  </si>
  <si>
    <t>Desarrollar periódicamente estudios de impacto y pertinencia de los programas existentes y presentar estudios de factibilidad para la apertura de nuevos programas.
Ampliar la oferta de programas de doctorado, maestria y especialidades medico-quirurgicas, fundamentados  por los grupos de investigación consolidados</t>
  </si>
  <si>
    <t>Realizar análisis de pertinencia para los programas existentes</t>
  </si>
  <si>
    <t>Ejecutar y consolidar escenarios de integración con los sectores productivos  y  sociales  con  el  fin  de  garantizar  la  pertinencia  de  los  programas académicos por medio de la interacción permanente con estos escenarios.</t>
  </si>
  <si>
    <t>Realizar un encuentro de integración con el sector productivo y social por cada facultad</t>
  </si>
  <si>
    <t>Participación en Escenarios de Planeación y Construcción Colectiva</t>
  </si>
  <si>
    <t>Actualizar periódicamente los Proyectos Educativos de Programa (PEP).</t>
  </si>
  <si>
    <t>Implementar un proceso de socialización y sensibilización respecto a la actualización del PEI con los diferentes estamentos de la comunidad universitaria.</t>
  </si>
  <si>
    <t>Implementar espacios de apropiación de los PEP en las facultades (estamentos)</t>
  </si>
  <si>
    <t xml:space="preserve"> Evaluación de los PEP y el proceso de implementación con base en lineamientos ministeriales</t>
  </si>
  <si>
    <t>Diagnóstico de infraestructura tecnológica en cuanto a Laboratorios virtuales, Laboratorios especializados y su software de apliacación.</t>
  </si>
  <si>
    <t>Desarrollar diagnóstico pedagógico entorno al uso de las TIC: apropiación de Laboratorios virtuales, Laboratorios especializados y Plataforma e-Libre.</t>
  </si>
  <si>
    <t>Coordinar con Centro de investigaciones procedimientos para incorporar el uso de las TIC en la formación investigativa de estudiantes, incentivando la creación de un grupo de investigación interdisciplinario para E learning.</t>
  </si>
  <si>
    <t>Realizar con  Biblioteca, Gestión Humana y Escuela de formación docente, la creación de un OVA que permita capacitar en el uso de servicios de Biblioteca como Bases de datos y aplicaciones al personal Docente, Estudiantes y Administrativos.</t>
  </si>
  <si>
    <t>Coordinar con las Directivas de Posgrados el uso de las TIC en sus procesos académicos como procesos de Telepresencia y uso de Plataforma e-Libre como apoyo a la presencialidad.</t>
  </si>
  <si>
    <t>Coordinar con Consultorios empresarial y jurídico,  la oferta en procesos virtuales para la proyección social. (Diplomados)</t>
  </si>
  <si>
    <t>Coordinar con Bienestar institucional y oficina de egresados, la creación de dos MOOC para actualización de egresados.</t>
  </si>
  <si>
    <t xml:space="preserve"> Estructurar a nivel organizacional la unidad encargada de E learning en la seccional. Director Seccional.</t>
  </si>
  <si>
    <t xml:space="preserve">Adquirir  2 equipos de Telepresencia,  2 equipos de cómputo para diseño, software para diseño gráfico y audiovisual. </t>
  </si>
  <si>
    <t>Definir Plataforma y diseño Seccional y nacional para programas de extensión.</t>
  </si>
  <si>
    <t>Diseñar estrategia Informativa, Educativa y Comunicativa para la apropiación de e-Learning.</t>
  </si>
  <si>
    <t>Socialización mediante Plataforma e-Libre del modelo pedagógico de la Universidad, matriculando Nuevos Docentes, Estudiantes y Administrativos</t>
  </si>
  <si>
    <t>Contratar empresa externa para el diseño y elaboración de Objetos Virtuales de Aprendizaje, según requerimientos de la Seccional, Decanaturas, Escuela de Formación Docente.</t>
  </si>
  <si>
    <t xml:space="preserve"> Gestionar ante la Oficina de Gestión Humana y Decanaturas, la incorporación de Monitores o practicantes para la elaboración de Contenidos y Gestión de Plataforma. </t>
  </si>
  <si>
    <t>Realizar diagnóstico y reingeniería de Recursos Educativos Digitales implementados en Plataforma de apoyo a la presencialidad por parte de los docentes</t>
  </si>
  <si>
    <t>Coordinar con Decanaturas la creación de una electiva transversal.</t>
  </si>
  <si>
    <t xml:space="preserve">Desarrollo del plan de capacitación a docentes,  estudiantes y administrativos </t>
  </si>
  <si>
    <t>Coordinar con Escuela de formación docente para dinamizar la oferta en procesos virtuales para docentes universitarios.</t>
  </si>
  <si>
    <t xml:space="preserve">Diagnosticar el estado actual del e-learning en los cuatro marcos de trabajo, lo tecnológico, lo pedagógico, lo comunicativo y lo organizacional. 
</t>
  </si>
  <si>
    <t>Implementar el Modelo de incorporación de TIC, integrando el modelo de TI., incluyendo la estructura organizacional requerida.</t>
  </si>
  <si>
    <t>Establecer el modelo pedagógico y comunicativo para el e-learning.</t>
  </si>
  <si>
    <t>Desarrollar modelos de soporte y elaboración de contenidos digitales.</t>
  </si>
  <si>
    <t>Apropiar en los docentes la cultura e.learning mediante el desarrollo de habilidades y competencias</t>
  </si>
  <si>
    <t>Incrementar la planta docente con formación de maestría, especialización médico - quirúrgica y doctorado, con el ingreso de nuevos docentes.</t>
  </si>
  <si>
    <t>Promover la formación posgradual en los docentes a nivel de maestría y doctorado</t>
  </si>
  <si>
    <t>Rediseñar los procesos de identificación de necesidades de formación en maestrías, especializaciones médico - quirúrgicas y doctorados, y reconocimiento de becas, buscando su eficacia y la optimización de los recursos.</t>
  </si>
  <si>
    <t>Elaborar y ejecutar un plan de cualificación docente a nivel de maestría y doctorado</t>
  </si>
  <si>
    <t>La Universidad se ha planteado como meta tener el 30% de su planta docente a nivel de maestría y el 10% a nivel de doctorado, por lo que se mantiene la meta del 40% para el corto plazo (2015-2018).  Teniendo en cuentael reto de cualificación, se plantea un incremento en el tiempo</t>
  </si>
  <si>
    <t xml:space="preserve">Realizar 1 capacitación al año en PEI y PEP y/o  otros instrumentos de carácter institucional  </t>
  </si>
  <si>
    <t>Desarrollar proyectos de investigación enfocados a determinar las fortalezas  y debilidades de los docentes como insumos para establecer nuevas ofertas 
Establecer una oferta de formación académica anual para docentes nuevos.</t>
  </si>
  <si>
    <t xml:space="preserve">Identificar las necesidades de formación docente de la seccional </t>
  </si>
  <si>
    <t xml:space="preserve">Definir e implementar el plan de formación docente </t>
  </si>
  <si>
    <t>Realizar 2 capacitaciones en docencia universiaria.</t>
  </si>
  <si>
    <t>Establecer  una  oferta  de  formación  académica  anual  de  actualización  y perfeccionamiento docente   que incluya formación en TIC, con enfasis en el uso pedagógico de nuevas tecnologias y bilingüismo.</t>
  </si>
  <si>
    <t xml:space="preserve">Realizar 8 capacitaciones en el año con temas relacionados con nuevas tecnologías, pedagogías y  didacticas </t>
  </si>
  <si>
    <t>Motivar y acompañar la participación docente en los programas de formación.</t>
  </si>
  <si>
    <t>Se realizarán las respectivas publicaciones a traves de los diferentes medios de difusión de la institucion sobre la oferta académica de la Escuela de Formación para Docentes Universitarios.</t>
  </si>
  <si>
    <t xml:space="preserve">Desarrollar proyectos de investigación enfocados a determinar las fortalezas  y debilidades de los docentes como insumos para establecer nuevas ofertas </t>
  </si>
  <si>
    <t>2 Reuniones con la dirección de investigaciones para definir ofertas</t>
  </si>
  <si>
    <t>Determinar el impacto de los programas de formación y perfeccionamiento docente en la calidad académica.</t>
  </si>
  <si>
    <t xml:space="preserve">Medir el impacto de la formación, realizando  seguimiento a los docentes para conocer el nivel de satisfacción y recomendaciones sobre los programas ofrecidos.
</t>
  </si>
  <si>
    <t xml:space="preserve">Realizar estudios de deserción y desempeño académico </t>
  </si>
  <si>
    <t>Establecer estrategias de intervención en cada uno de los riesgos identificados con el fin de disminuir la deserción académica.</t>
  </si>
  <si>
    <t>Diseñar e implementar estrategias de permanencia con calidad para estimular la participación de estudiantes y docentes.</t>
  </si>
  <si>
    <t>Identificación de riesgos de deserción primaria a través de caracterización, apoyo a entrevistas, identificación de resultados en pruebas Saber Pro, inducción.</t>
  </si>
  <si>
    <t>Identificación de riesgos de deserción segundaria a traves de:  remisión por parte de docentes, intervenciones grupales, seguimiento académico, contacto con el núcleo familiar.</t>
  </si>
  <si>
    <t>Inducción por semestre acerca del programa PPC a Decanos, Directores de programa y docentes.</t>
  </si>
  <si>
    <t>Acompañamiento de problemáticas grupales (bulling - consumo de sustancias psicoáctivas - acoso)</t>
  </si>
  <si>
    <t>Acompañamiento al resultado de tutoría y monitorías, realizando seguimiento al avance o no del estudiante.                                       Acompañamiento desde el fomento y la remision de los estudiantes a estas y en la revision del desempeño academico, número de tutorias para cada materia perdida por programa, quienes y cuantos de los estudiantes que pierden materias asisten a tutorias.</t>
  </si>
  <si>
    <t>Acompañamiento económico por medio de asesorias de créditos estudiantiles, seguimiento y caracterización para el beneficio de almuerzos.                                      Seguimiento académico y remisión a tutorías.</t>
  </si>
  <si>
    <t xml:space="preserve">Fortalecer la evaluación de impacto del programa PPC en la Seccional </t>
  </si>
  <si>
    <t xml:space="preserve"> Fomentar el desarrollo de talleres de formación integral.</t>
  </si>
  <si>
    <t>Gestionar talleres de pánico escénico, prevención del consumo de sustancias psicoactivas, alteraciones del estado de ánimo, comunicación efectiva, estrategias de estudio, asesoría psicológica personalizada, familiar y grupal,  programa de acompañamiento a la buena utilización del tiempo libre.      Utilización y desarrollo del aula virtual como estrategia de acercamiento e intervención psicológica.                                         Desarrollo del programa para los estudiantes, "vive Intensamente, a traves del subprogama: "SanaMente" o "DeMente".</t>
  </si>
  <si>
    <t>Establecer apoyos socio-económicos.</t>
  </si>
  <si>
    <t>Brindar  apoyo socieconomico por medio del beneficio de alimentación, asesoria en créditos estudiantiles.                                    Generar una ruta de acercamiento con el "centro de emprendimiento" para generar proyectos productivos.</t>
  </si>
  <si>
    <t>Ejecutar campañas informativas sobre las actividades tutoriales y los programas de atención estudiantil.</t>
  </si>
  <si>
    <t>Actividad específica que se realiza durante la inducción y reinducción socializando los servicios de Bienestar, a demás visita a las aulas de clase, envío de correos masivos a toda la comunidad Universitaria, puesta en marcha de la estrategia de comunicación institucional (publicación de todas las actividades en redes sociales y en la web de la Universidad).            Estudio de casos, análisis con las facultades de factores  de riesgo académico</t>
  </si>
  <si>
    <t xml:space="preserve"> Revisar y actualizar la normatividad referente a monitorias como uno de los ejes de permanencia y de relevo generacional docente.</t>
  </si>
  <si>
    <t>Revisar la normatividad referente a monitorias como uno de los ejes de permanencia y de relevo generacional docente.</t>
  </si>
  <si>
    <t>Caracterizar la población estudiantil (pregrado y posgrado de primer semestre), categorizar al estudiante de acuerdo al riesgo de deserción identificado</t>
  </si>
  <si>
    <t xml:space="preserve">Desarrollar  estrategias  que  permitan  captar  estudiantes  de  bachillerato con altos puntajes en las pruebas de Estado Saber 11 o las que estén vigentes, especialmente de los sectores vulnerables. </t>
  </si>
  <si>
    <t xml:space="preserve">Visitar instituciones de educación media localizadas en sectores vulnerables para captar los mejores estudiantes en las pruebas Saber 11. </t>
  </si>
  <si>
    <t>Establecer estímulos para excelencia estudiantil en movilidad e intercambio.</t>
  </si>
  <si>
    <t xml:space="preserve">Identificar los estímulos para la excelencia estudiantil en movilidad e intercambio </t>
  </si>
  <si>
    <t>Proponer un nuevo plan de incentivos en movilidad e intercambio</t>
  </si>
  <si>
    <t>Pasajes Terrestre</t>
  </si>
  <si>
    <t>Pago poliza estudiantil para los semestres 2020-1 y 2020-2</t>
  </si>
  <si>
    <t>Pago ARL estudiantes de practicas</t>
  </si>
  <si>
    <t>Adelantar los procesos de autoevaluación con fines de acreditación de alta calidad de los programas que cumplan con los requisitos y condiciones iniciales</t>
  </si>
  <si>
    <t>Identificación y verificación de programas de pregrado y posgrado que cumplan con requisitos y condiciones iniciales.</t>
  </si>
  <si>
    <t>Instalación de los comités de autoevaluación e implementación de los procesos de autoevaluación a nivel institucional y de facultad, con fines de acreditación y renovación de acreditación</t>
  </si>
  <si>
    <t xml:space="preserve">Consolidar los procesos de autoevaluación con fines de acreditación y re-acreditación institucional.
</t>
  </si>
  <si>
    <t xml:space="preserve"> Estructurar e implementar el Sistema de Aseguramiento de la calidad académica "Camino a la Excelencia"</t>
  </si>
  <si>
    <t xml:space="preserve">Promover la participación en el Comité Institucional de Acreditación de los representantes de los estamentos </t>
  </si>
  <si>
    <t xml:space="preserve">Garantizar que los proyectos educativos de los programas estén enfocados en la formación por competencias.
</t>
  </si>
  <si>
    <t>Realizar capacitación en formación y evaluación por competencias y en la implementación del modelo pedagógico vigente</t>
  </si>
  <si>
    <t>Desarrollar talleres de implementacion del modelo pedagógico vigente</t>
  </si>
  <si>
    <t>Aplicar  metodologías  innovadoras de gestión del conocimiento y gestión educativa en los procesos de formación.</t>
  </si>
  <si>
    <t>Realizar capacitación en el diseño e implementación de herramientas pedagógicas innovadoras en el contexto de aula</t>
  </si>
  <si>
    <t>Fomentar el desarrollo de metodologías pedagógicas innovadoras en el contexto de aula y su socialización entre los docentes.</t>
  </si>
  <si>
    <t>Adelantar permanentemente revisiones y actualizaciones a las políticas y reglamentos institucionales acorde a las tendencias y desarrollos en educación superior.</t>
  </si>
  <si>
    <t>Solicitar la formalización  de los comités de currículo de los programas académicos</t>
  </si>
  <si>
    <t>Socialización del Reglamento Docente ajustado y sus herramientas de evaluación</t>
  </si>
  <si>
    <t xml:space="preserve">Fortalecer los controles y seguimientos a los planes de mejora, resultantes de los procesos de autoevaluación  </t>
  </si>
  <si>
    <t>Actualizar y socializar los planes de mejoramiento y mantenimiento de los programas acreditados</t>
  </si>
  <si>
    <t xml:space="preserve">Realizar seguimientos semestrales a los diferentes planes de mejoramiento y mantenimiento </t>
  </si>
  <si>
    <t>Mejorar los resultados en las pruebas de estado como consecuencia de la ejecución de planes de mejoramiento.</t>
  </si>
  <si>
    <t>Diseñar e implementar un proceso que permita el seguimiento, análisis y evaluación del desempeño de los estudiantes en las pruebas Saber Pro y su comparación con su desempeño en Saber 11.</t>
  </si>
  <si>
    <t>Asesorar a la Rectoría  para la  identificación de una estrategia única para la seccional de mejoramiento del desempeño de los estudiantes en las pruebas saber pro</t>
  </si>
  <si>
    <t>Actualizar la estructura curricular de los programas cuando las tendencias  del conocimiento o normas legales lo exijan y los microcurriculos anualmente, mediante la consolidación al interior de la Universidad de grupos inter-seccionales, disciplinares e interdisciplinarios.</t>
  </si>
  <si>
    <t>Estandarización de los elementos básicos de análisis de estructura curricular por programa</t>
  </si>
  <si>
    <t>Realizar reformas  curriculares a los programas académicos de pregrado y posgrado</t>
  </si>
  <si>
    <t xml:space="preserve">Revisar el estado del arte de la asignatura de ingles en la Universidad y proponer ajustes para mejorar los niveles </t>
  </si>
  <si>
    <t>Jornadas periódicas de capacitación y actualización en sistemas de créditos, curriculos, microcurriculos, flexibilidad e interdisciplinariedad.</t>
  </si>
  <si>
    <t xml:space="preserve">Generar redes de trabajo académico entre seccionales dentro de los planes de acción. </t>
  </si>
  <si>
    <t>Diseñar y ejecutar una agenda de trabajo conjunta entre las seccionales, para los programas que corresponda.</t>
  </si>
  <si>
    <t>Afianzar los programas integrales de formación gerencial.</t>
  </si>
  <si>
    <t>Revisar y actualizar los microcurriculos de las asignaturas de Formulación y Evaluación de proyectos y otras de carácter Gerencial</t>
  </si>
  <si>
    <t>Implementar planes de mejora académica, focalizados en la sensibilización del sistema de créditos, la formación por competencias, el aprovechamiento de las TIC en las prácticas pedagógicas, el seguimiento al trabajo autónomo y la flexibilidad, entre otros aspectos</t>
  </si>
  <si>
    <t xml:space="preserve">Promover la participación de docentes y estudiantes en el desarrollo de tutorías individuales y grupales. </t>
  </si>
  <si>
    <t>Garantizar espacios de retroalimentación de los procesos de formación y actualización curricular.</t>
  </si>
  <si>
    <t>___ Docentes y Directora ___ veces al año</t>
  </si>
  <si>
    <t xml:space="preserve">Establecer  planes  de  mantenimiento  tendientes  a  la  plena  utilización  y funcionamiento de los equipos, redes, software y hardware, entre otros.          </t>
  </si>
  <si>
    <t>Incrementar el uso y aprovechamiento masivo de los recursos bibliográficos y de laboratorio</t>
  </si>
  <si>
    <t>Sugerir a los decanos y directores de programa de cada una de las facultades la compra de material bibliográfico, publicaciones y bases de datos de acuerdo con la plantilla de control llevada por la Dirección de la Biblioteca.</t>
  </si>
  <si>
    <t>Recomendar a los Decanos y Directores de Programa de cada una de las facultades, la adquisición de copias adicionales de aquellos títulos que cuenten con una solo ejemplar, que tengan alto índice de consulta.</t>
  </si>
  <si>
    <t>Sugerir implementos de dotación de  laboratorios que respondan a las necesidades y exigencias pedagógicas e investigativas</t>
  </si>
  <si>
    <t>Mantenimiento preventivo y o correctivo de los equipos de laboratorios tanto para ingeniería como enfermería</t>
  </si>
  <si>
    <t>Seguimiento y renovación  de recursos bibliográficos físicos y virtuales</t>
  </si>
  <si>
    <t>Renovacion software _______________</t>
  </si>
  <si>
    <t>Pago de bases de datos propias</t>
  </si>
  <si>
    <t>Pago de bases de datos interdisciplinaciras</t>
  </si>
  <si>
    <t>Pago de suscripcion periodicos y revistas</t>
  </si>
  <si>
    <t>Compra de libros para biblioteca</t>
  </si>
  <si>
    <t>El laboratorio tiene un Manual o Plan de gestión integral para el manejo de los residuos generados en sus diferentes secciones y áreas de trabajo ajustado a su grado de complejidad y de acuerdo a la normatividad vigente</t>
  </si>
  <si>
    <t>Participar en capacitaciones y/o talleres en temas de interés en Salud Pública</t>
  </si>
  <si>
    <t>Documentar las hojas de vida de equipos con datos de identificación, referencia, e historial de los mantenimientos
realizados.</t>
  </si>
  <si>
    <t>A mediano plazo tenerr la construcción de la planta física del laboratorio cumpliendo las especificaciones de la norma vigente en sismo resistencia y de construcción de acuerdo a lo
estipulado por el Misterio de Salud y Protección Social.</t>
  </si>
  <si>
    <t>Participar en la evaluación técnica que se realiza para la compra de insumos, reactivos, materiales y equipos necesarios para su funcionamiento en los dos laboratorios</t>
  </si>
  <si>
    <t xml:space="preserve">Desde la coordinación del laboratorio de ingenierías y enfermería desarrollar las actividades necesarias para garantizar que la totalidad del recurso humano que ingresa en el laboratorio conoce, comprende e implementa los procesos, programas, procedimientos y documentación del SGC </t>
  </si>
  <si>
    <t>Fortalecer las líneas y grupos de investigación en consonancia con las exigencias y potencialidades de la región, el país y el mundo.</t>
  </si>
  <si>
    <t xml:space="preserve">Consolidar el proceso de redireccionamiento y alineamiento estratégico de la investigación en la seccional y revisión y actualización de las líneas de investigaciones de la seccional, en consonancia con la oferta de los programas académicos, que den respúesta a las necesidades del contexto local y  nacional, </t>
  </si>
  <si>
    <t>Recategorizar los grupos de investigación que actualmente se encuentran categorizados en COLCIENCIAS.</t>
  </si>
  <si>
    <t>Fomentar la categorización de los investigadores de acuerdo a ls exigencias COLCIENCIAS.</t>
  </si>
  <si>
    <t>Fortalecer la investigación básica y aplicada.                                                                                                             Mejorar la capacidad institucional para la cooperación, el trabajo en alianzas y la participación en redes académicas y científicas inter-seccionales, nacionales e internacionales.</t>
  </si>
  <si>
    <t>Formular y ejecutar el plan y capacitación para docentes, estudiantes e investigadores.</t>
  </si>
  <si>
    <t>Fomentar la participación de docentes investigadores en redes nacionales e internacionales.</t>
  </si>
  <si>
    <t>Fomentar la participación en convocatorias nacionales e internacionales de proyectos de investigación, como fuente de fianciación de la investigación</t>
  </si>
  <si>
    <t>Apoyar la movilidad de los docentes investigadores a partir de las ponencias realizadas en eventos, locales, nacionales e internacionales, para visibilizar los resultados de la investigación multicampus.</t>
  </si>
  <si>
    <t>Elaborar un boletin de divulgación de la investigación, contenidos, diseño y estructura</t>
  </si>
  <si>
    <t>Realizar un evento para fomentar y visibilizar los resultados de la investigación.</t>
  </si>
  <si>
    <t>Generar planes y programas nacionales de formación investigativa</t>
  </si>
  <si>
    <t>Generar una estrategia conjunta entre la Dirección Seccional de Investigaciones y el Sistema de Gestión de Calidad que facilite la evaluación permanente del trabajo de investigación.</t>
  </si>
  <si>
    <t>Fomentar la participación de la investigación formativa en eventos que deriven de las redes de investigación locales, regionales, nacionales e internacionales.</t>
  </si>
  <si>
    <t>Fortalecer los semilleros de investigación</t>
  </si>
  <si>
    <t>Fomentar la participación de los semilleros de investigación en  redes, congresos, simposios y otros</t>
  </si>
  <si>
    <t>Fomentar el desarrollo de investigaciones de caracer interdisciplinar</t>
  </si>
  <si>
    <t>Desarrollo de convocatorias y proyectos interdisciplinarios que permitan resolver problemas regionales.</t>
  </si>
  <si>
    <t>Definir y aplicar las políticas para la selección y promoción de jóvenes investigadores.</t>
  </si>
  <si>
    <t>Realizar una convocatoria interna para jóvenes investigadores, financiada con recursos propios.</t>
  </si>
  <si>
    <t>Participación  en convocatoria de Colciencias para jóvenes investigadores</t>
  </si>
  <si>
    <t>Movilidad estudiante internacional con ponencia (___)</t>
  </si>
  <si>
    <t>Participacion de los semilleros en REDSI</t>
  </si>
  <si>
    <t>Convocatoria 2020</t>
  </si>
  <si>
    <t>Honorarios  Gestor nodo de Biotecnologia</t>
  </si>
  <si>
    <t xml:space="preserve">Fortalecer  la  proyección  de  publicaciones  anuales  resultado  de  trabajos investigativos y sociales.                                                                                                                        
                                                                                  Propender  por  la  divulgación  y  visibilidad  nacional  e  internacional  de  la producción en revistas científicas aceptadas por los Servicios de Indexación y Resumen (SIRES), preferiblemente en aquellos de máximo reconocimiento y puntuación en el contexto nacional e internacional.
Brindar herramientas metodológicas y tecnológicas que favorezcan a los docentes la publicación en revistas indexadas internacionales y el desarrollo de producción científica.
 Apoyar la publicación y edición de textos y material docente.
Identificar  y  socializar  la  normatividad  establecida  para  los  procesos  de inscripción y aprobación de patentes y registros y apropiación del todo el componente de propiedad intelectual, comités de ética y derechos de autor.
</t>
  </si>
  <si>
    <t>Incrementar la producción académica e investigativa de la seccional y su visibilidad (escenarios académicos y entorno socio-económico).</t>
  </si>
  <si>
    <t>Incentivar la investigación de la universidad en el sector externo que fomente el desarrollo de patentes, software, spin off, consultorías, interventorías, supervisiones, entre otros.</t>
  </si>
  <si>
    <t>Sistematizar y publicar el banco de proyectos de los programas de maestrías y doctorados.</t>
  </si>
  <si>
    <t>Incentivar el registro de la producción académica en los Cvlac y Gruplac</t>
  </si>
  <si>
    <t>Incentivar la publicación de productos científcios en revistas indexadas ISI scopus</t>
  </si>
  <si>
    <t>Implementación y funcionalidad del comité editorial.</t>
  </si>
  <si>
    <t>Ejecución de proyectos y productos de investigación categorizados por COLCIENCIAS</t>
  </si>
  <si>
    <t>Fomentar la indexación de la revistas categorizadas por Colciencias.</t>
  </si>
  <si>
    <t>Fomentar el desarrollo de patentes y desarrollos tecnológicos, marcas entre otros.</t>
  </si>
  <si>
    <t>Gestión el reconocimiento de incentivos a la producción intelectual.</t>
  </si>
  <si>
    <t>Estimulos a la produccion académica</t>
  </si>
  <si>
    <t>Establecer periódicamente las temáticas de discusión y reflexión a trabajar en la Cátedra Unilibrista.</t>
  </si>
  <si>
    <t>Implementar la actualización de la cátedra Unilibrista</t>
  </si>
  <si>
    <t>Establecer espacios extra curriculares para el diálogo, la reflexión y el debate de aspectos de interés nacional e internacional</t>
  </si>
  <si>
    <t xml:space="preserve">Realizar anualmente  actividades académicas (Congresos, Seminarios, Foros o Ferias) de impacto local, regional y/o nacional por Facultad </t>
  </si>
  <si>
    <t>Generar espacios (encuentros) de diálogo con los egresados sobre el alcance y compromiso social de la Universidad expresado en la Misión Institucional y de Programa</t>
  </si>
  <si>
    <t>Definir los lineamientos, alcance y aplicación de la Responsabilidad Social Institucional.</t>
  </si>
  <si>
    <t>Formular e implementar una estrategia que articule los diferentes programas de proyección social de la seccional a las funciones sustantivas, en torno a la responsabilidad social universitaria.</t>
  </si>
  <si>
    <t xml:space="preserve">Dar a conocer la política de Proyección social  a la comunidad académica </t>
  </si>
  <si>
    <t>Proponer y aplicar una estrategia de gestión de la PS en la Universidad</t>
  </si>
  <si>
    <t xml:space="preserve">Proponer una ruta de trabajo para la gestión de proyectos de  investigación con impacto social </t>
  </si>
  <si>
    <t>Estrategia de comunicación  tendientea dar visibilidad a los procesos de proyección social.</t>
  </si>
  <si>
    <t xml:space="preserve">Interactuar con el sector productivo en programas de desarrollo tecnológico y de innovación.
Realizar alianzas estratégicas Universidad Empresa Estado </t>
  </si>
  <si>
    <t>Participar en las mesas de trabajo de desarrollo de región</t>
  </si>
  <si>
    <t xml:space="preserve">Celebrar convenios interinstitucionales para el desarrollo de proyectos de impacto en la comunidad </t>
  </si>
  <si>
    <t>Proyectar  y  aplicar  procesos  de  evaluación  de  la  proyección  social  de  la Universidad.</t>
  </si>
  <si>
    <t>Diseñar un modelo de evaluación de impacto de la Proyección Social</t>
  </si>
  <si>
    <t>Crear el banco de proyectos de extensión y proyección social, regional y comunitaria.</t>
  </si>
  <si>
    <t>Realizar un inventario de los proyectos de extensión y proyección social de la seccional</t>
  </si>
  <si>
    <t xml:space="preserve">Desarrollar proyectos de proyección social con  los programas académicos de pregrado integrando la  Docencia  y la  investigación </t>
  </si>
  <si>
    <t>Formular  un  portafolio  de  servicios  de  asesoría,  consultoría,  interventoría, asistencia técnica, pruebas y ensayos, ejecución de convenios y proyectos en las diferentes áreas del conocimiento.</t>
  </si>
  <si>
    <t xml:space="preserve">Estructurar el portafolio de servicios de proyección social donde se incluyan las diferentes áreas. </t>
  </si>
  <si>
    <t>Formular un  portafolio anual de formación continuada, fruto de las iniciativas de cursos, talleres, seminarios y diplomados, entre otros, propuestas por los programas y facultades que respondan a las exigencias del mercado laboral y necesidades de las regiones.</t>
  </si>
  <si>
    <t>Implementar estrategias de difusión de los programas de educación continuada que involucre tanto medios masivos como directos</t>
  </si>
  <si>
    <t>Desarrollar estrategias de comunicación promoción y mercadeo para la oferta y venta de programas de educacion continuada</t>
  </si>
  <si>
    <t xml:space="preserve">Elaborar  un portafolio de servicios para la oferta de programas de educación continuada de la seccional </t>
  </si>
  <si>
    <t>Seminarios como opcion de grado (___)</t>
  </si>
  <si>
    <t>Cursos (___)</t>
  </si>
  <si>
    <t>Establecer un sistema de seguimiento y actualización permanente de las bases de datos.</t>
  </si>
  <si>
    <t xml:space="preserve">Actualización de la base de datos permanente a través de: correos electrónicos, eventos académicos, bolsa de empleo, registro y control y contacto directo </t>
  </si>
  <si>
    <t xml:space="preserve">12 reuniones con egresados en la vigencia un encuentro institucional con egresados </t>
  </si>
  <si>
    <t>Fortalecimiento de la red de trabajo a través de: reuniones con los directores de programa  y líderes de factor para establecer actividades conjuntas, para compartir información relevante del contexto del egresado, para apoyar los procesos de acreditación y para el apoyo de la educación continuada.</t>
  </si>
  <si>
    <t>Generar canales de comunicación que permitan al egresado conocer los avances e información relevante de la Institución.</t>
  </si>
  <si>
    <t>Fomentar la participación de los egresados a traves de los diferentes canales  de comunicación instituicionales para conocer los avances e información relevante .</t>
  </si>
  <si>
    <t xml:space="preserve">Consolidar la estrategia de comunicaciones, con el fin de dar mayor cobertura a los graduados. </t>
  </si>
  <si>
    <t>Establecer un sistema virtual de comunicación continua con el egresado, donde se puedan generar preguntas, sugerencias, asesorías o cualquier tipo de inquietud o requerimiento por parte del egresado.</t>
  </si>
  <si>
    <t>Oferta permanente de  MOOC ( Acceso en línea a toda la información de un curso académico)</t>
  </si>
  <si>
    <t>Coordinar con decanos y directores de programa el cumplimiento de esta acción</t>
  </si>
  <si>
    <t>Garantizar el desarrollo de estudios de impacto en el medio profesional y social.</t>
  </si>
  <si>
    <t>Efectuar 4 análisis de segumiento a egresados  de programas.</t>
  </si>
  <si>
    <t>Alineamiento para la promoción e incentivo a la participación de egresados en los proeceso electorales internos de la universidad.</t>
  </si>
  <si>
    <t xml:space="preserve"> Identificar y reconocer a los egresados que destaquen por sus aportes científicos, culturales y  artísticos, así como por su desempeño
p rofesional.</t>
  </si>
  <si>
    <t>Identificar y reconocer a los egresados que se destaquen por sus aportes científicos, culturales y  artísticos, así como por su desempeño profesional.</t>
  </si>
  <si>
    <t>Generar  estímulos  a  los  egresados  para  el  desarrollo  de  la  formación posgradual y actualización permanente.</t>
  </si>
  <si>
    <t>Ofrecer jornadas   de actualización para egresados  de manera presencial o virtual.</t>
  </si>
  <si>
    <t>Crear convenios interisntitucionales que beneficien a los egresados de la Universidad</t>
  </si>
  <si>
    <t>Programas de actualización con expertos nacionales ( 3 eventos)</t>
  </si>
  <si>
    <t>Fortalecer los programas de intermediación laboral</t>
  </si>
  <si>
    <t>Participación activa con la Red de Universidades y desarrollo de evento interuniversidades,</t>
  </si>
  <si>
    <t>Incentivar la creación de colegios de egresados.</t>
  </si>
  <si>
    <t xml:space="preserve">Incentivar la creación de la asociación de egresados  </t>
  </si>
  <si>
    <t xml:space="preserve"> Incentivar la participación de los egresados en la elección de sus representantes en los cuerpos colegiados donde tienen asiento.</t>
  </si>
  <si>
    <t>Boletines periódicos y flujo de comunicación permanente con el egresado.</t>
  </si>
  <si>
    <t>Diseñar políticas y mecanismos que permitan potencializar los aportes
de los egresados para la Universidad</t>
  </si>
  <si>
    <t>Elaborar propuesta de política institucional de egresados</t>
  </si>
  <si>
    <t>Implementar un sistema interno de monitoreo de fuentes de empleo y/ o bolsa de empleo con el fin de facilitar la empleabilidad de los egresados</t>
  </si>
  <si>
    <t>Afianzar la suscripción de convenios y alianzas estratégicas con asociaciones internacionales, instituciones educativas y de investigacion.</t>
  </si>
  <si>
    <t>Velar por la continuidad de los convenios que tienen activos las facultades con instituciones de educación superior nacionales o internacionales y promover la suscripción de convenios con aquellas instituciones con las cuales se tiene relaciones académicas</t>
  </si>
  <si>
    <t xml:space="preserve"> Aplicar el  instrumento de internacionalización del currículo por parte de los programas para establecer una estrategia de relacionamiento e  Implementar de la propuesta de internacionalización del curriculo por los docentes organizados en las áreas del conocimiento</t>
  </si>
  <si>
    <t>Realizar  taller de internacionalización con experto en el tema</t>
  </si>
  <si>
    <t xml:space="preserve">Fomentar  redes y asociaciones nacionales e internacionales, científicas y académicas de interés, con el fin de promover el desarrollo de proyectos de investigación, cooperación o extensión de preferencia con financiación de recursos externos. </t>
  </si>
  <si>
    <t xml:space="preserve"> Identificar las redes y/o asociaciones que se tienen en cada uno de los programas y el objetivo de cada una de ellas </t>
  </si>
  <si>
    <t>Cuantificar el número de docentes, estudiantes, directivos que participan en cada red</t>
  </si>
  <si>
    <t>Promover el desarrollo de publicaciones científicas de alcance internacional, como resultado de la interacción en redes de investigación con universidades o instituciones.</t>
  </si>
  <si>
    <t xml:space="preserve">Incentivar la a los docentes a realizar publicaciones sobre los trabajos de investigación que desarrollen bajo los convenios interinstitucionales </t>
  </si>
  <si>
    <t>Generar la oferta de programas a nivel internacional.</t>
  </si>
  <si>
    <t>Promover oferta de seminarios internacionales  desde las decanaturas.</t>
  </si>
  <si>
    <t>Continuar la gestión para la doble titulación y co-titulación académica a nivel nacional e internacional.</t>
  </si>
  <si>
    <t>Gestionar nuevos convenios de doble titulación, movilidad y cooperación académica, para la comunidad Unilibrista</t>
  </si>
  <si>
    <t>Establecer recursos para el patrocinio en movilidad docente y estudiantil, con el fin de desarrollar pasantías, prácticas, participación en eventos, desarrollo de estudios y actividades de investigación, entre otros</t>
  </si>
  <si>
    <t>Promover la movilidad docente y estudiantil desde y hacia la seccional Pereira en todas las modalidades y de forma presencial o virtual.</t>
  </si>
  <si>
    <t xml:space="preserve">Fortalecer la ORI Seccional Pereira  por medio de divulgación de información  de convocatorias, utilizando canales institucionales de difusión </t>
  </si>
  <si>
    <t>Implementar estrategias para la formación y dominio de una segunda lengua en estudiantes, docentes y personal directivo y administrativo.</t>
  </si>
  <si>
    <t xml:space="preserve">Proponer alternativas de fortalecimiento del bilingüismo para profesores y estudiantes a través de alianzas con terceros </t>
  </si>
  <si>
    <t xml:space="preserve">Implementar una segunda opción en idioma extranjero </t>
  </si>
  <si>
    <t xml:space="preserve">Estableber un programa piloto elite para formación en segunda lengua para estudiantes, profesores y administrativos </t>
  </si>
  <si>
    <t>Revisar  y elaborar diagnóstico de inglés para definir acciones tendientes a incrementar la eficiencia de la formación del inglés para la prueba SABER PRO</t>
  </si>
  <si>
    <t xml:space="preserve">Promover la participación de docentes e investigadores con ponencia en idioma extranjero (francés o inglés) </t>
  </si>
  <si>
    <t xml:space="preserve"> Promover la vinculación e invitación de docentes extranjeros. </t>
  </si>
  <si>
    <t>Fomentar desde las facultades la invitación de docentes extranjeros</t>
  </si>
  <si>
    <t>Generar estrategias para hacer de la Universidad un lugar de interés académica e investigativo para los estudiantes extranjeros</t>
  </si>
  <si>
    <t>Promoción del video institucional de la ORI a traves de estudiantes que hacen movilidad entrante y saliente, redes sociales y otros</t>
  </si>
  <si>
    <t>Promover la participacion de la coordinación de la ORI, en escenarios estrategicos para fortalecer las relaciones internacionales e interinstitucionales</t>
  </si>
  <si>
    <t>Pago de los honorarios para la prestacion del servicio de ingles
Electivas
Grupos 2020-1
Grupos 2020-2</t>
  </si>
  <si>
    <t>Publicidad</t>
  </si>
  <si>
    <t>Autoridades Nacionales</t>
  </si>
  <si>
    <t>Industria y Comercio</t>
  </si>
  <si>
    <t>Fondo de estabilidad ICETEX</t>
  </si>
  <si>
    <t>Aseo</t>
  </si>
  <si>
    <t>Acueducto y Alcantarillado</t>
  </si>
  <si>
    <t>Energía Eléctrica</t>
  </si>
  <si>
    <t>Teléfono</t>
  </si>
  <si>
    <t>Telefonos Celulares</t>
  </si>
  <si>
    <t>Correo, Portes y Telegramas</t>
  </si>
  <si>
    <t>Utiles, Papeleria Y Fotocopias</t>
  </si>
  <si>
    <t>Internet</t>
  </si>
  <si>
    <t>Seguridad Universidad</t>
  </si>
  <si>
    <t>Aseo empresa temporal</t>
  </si>
  <si>
    <t>Código</t>
  </si>
  <si>
    <t>Ingresos</t>
  </si>
  <si>
    <t>Gastos Académicos</t>
  </si>
  <si>
    <t>Gastos no Operacionales</t>
  </si>
  <si>
    <t>Total Gastos</t>
  </si>
  <si>
    <t>Total Gastos 
Mas Inversiones</t>
  </si>
  <si>
    <t>Diferencia</t>
  </si>
  <si>
    <t>Proyecto 01: Racionalización y ampliación de la cobertura de programas de pregrado y posgrados</t>
  </si>
  <si>
    <t>Proyecto 02: Proyecto E-learning</t>
  </si>
  <si>
    <t>Proyecto 03: Docencia calificada</t>
  </si>
  <si>
    <t>Proyecto 04: Escuela de formación para docentes universitarios</t>
  </si>
  <si>
    <t>Proyecto 05: Seguimiento y atención académica de estudiantes</t>
  </si>
  <si>
    <t>Proyecto 06: Fomento y apoyo a la excelencia estudiantil</t>
  </si>
  <si>
    <t>Proyecto 07: Autoevaluación y autorregulación para la mejora permanente de la calidad académica</t>
  </si>
  <si>
    <t>Proyecto 08: Actualización académica</t>
  </si>
  <si>
    <t>Proyecto 09: Cualificación de los programas de educación preescolar, básica y media</t>
  </si>
  <si>
    <t>Proyecto 10: Una universidad con modernos apoyos tecnológicos y didácticos al servicio de la academia</t>
  </si>
  <si>
    <t>Proyecto 11: Fortalecimiento y consolidación de la investigación científica y formativa en la Universidad Libre</t>
  </si>
  <si>
    <t>Proyecto 12: Fomento a la producción científica y académica</t>
  </si>
  <si>
    <t>Proyecto 13: Fortalecimiento y promoción de los principios institucionales y del sentido de pertenencia</t>
  </si>
  <si>
    <t>Proyecto 14: Organización, infraestructura y fomento de la proyección social para el desarrollo nacional y regional</t>
  </si>
  <si>
    <t>Proyecto 15: Educación continua</t>
  </si>
  <si>
    <t>Proyecto 16: Sistema de egresados e impacto en el medio</t>
  </si>
  <si>
    <t>Proyecto 17: Fortalecimiento y desarrollo de las relaciones interinstitucionales a nivel nacional e internacional</t>
  </si>
  <si>
    <t>Proyecto 18: fomento y apoyo a la movilidad y cualificación académica e investigativa de docentes y estudiantes</t>
  </si>
  <si>
    <t>Proyecto 19: Expansión y cualificación de servicios y programas de bienestar institucional</t>
  </si>
  <si>
    <t>Proyecto 20: Sistema SIIG</t>
  </si>
  <si>
    <t>Proyecto 21: Ampliar el alcance del  sistema de gestión de calidad</t>
  </si>
  <si>
    <t>Proyecto 22: Universidad orientada al servicio de la comunidad</t>
  </si>
  <si>
    <t>Proyecto 23: Sistemas integrados de gestión</t>
  </si>
  <si>
    <t>Proyecto 24: Organización y gestión</t>
  </si>
  <si>
    <t>Proyecto 25: Fuentes de financiación y estrategias de fortalecimiento y control financiero</t>
  </si>
  <si>
    <t>Proyecto 26: Desarrollo de la infraestructura</t>
  </si>
  <si>
    <t>Proyecto 27: Gestión de TIC</t>
  </si>
  <si>
    <t>Proyecto 28: Mercadeo y fortalecimiento de la imagen corporativa</t>
  </si>
  <si>
    <t>Gastos administrativos y académicos</t>
  </si>
  <si>
    <t>Gastos autoridades nacionales</t>
  </si>
  <si>
    <t>Ingresos operacionales</t>
  </si>
  <si>
    <t>Ingresos no operacionales</t>
  </si>
  <si>
    <t>06010104</t>
  </si>
  <si>
    <t>Ingresos operacionales colegio</t>
  </si>
  <si>
    <t>06010105</t>
  </si>
  <si>
    <t>Ingresos no operacionales colegio</t>
  </si>
  <si>
    <t>06010106</t>
  </si>
  <si>
    <t>Becas y descuentos universidad</t>
  </si>
  <si>
    <t>06010107</t>
  </si>
  <si>
    <t>Becas y descuentos colegio</t>
  </si>
  <si>
    <t>TOTAL PRESUPUESTO</t>
  </si>
  <si>
    <t>PIDI posible</t>
  </si>
  <si>
    <t>Valor Presupuesto</t>
  </si>
  <si>
    <t>Inversion y Gastos para investigacion</t>
  </si>
  <si>
    <t>Gastos de operación de las unidades academicas</t>
  </si>
  <si>
    <t>Gastos de nomina</t>
  </si>
  <si>
    <t>Bienestar</t>
  </si>
  <si>
    <t>Gastos de Unidades de Administracion</t>
  </si>
  <si>
    <t>G</t>
  </si>
  <si>
    <t>H</t>
  </si>
  <si>
    <t>I</t>
  </si>
  <si>
    <t>K</t>
  </si>
  <si>
    <t>L</t>
  </si>
  <si>
    <t>P</t>
  </si>
  <si>
    <t>j</t>
  </si>
  <si>
    <t>k</t>
  </si>
  <si>
    <t>Movilidad internacional Estudiantes entrantes
ESTUDIANTE ENTRANTE INTERNACIONAL CON BECA (PILA-PAMEUDUAL-BRACOL)</t>
  </si>
  <si>
    <t>Movilidad docente internacional con ponencia (1)</t>
  </si>
  <si>
    <t>Visita de pares amigos</t>
  </si>
  <si>
    <t xml:space="preserve">1 Visita guiada para estudiantes destacados </t>
  </si>
  <si>
    <t>Apoyo a las visitas tecnicas</t>
  </si>
  <si>
    <t>Pasajes aereos</t>
  </si>
  <si>
    <t xml:space="preserve">Adquisicion software </t>
  </si>
  <si>
    <r>
      <t xml:space="preserve">Estructuración de Documentos Maestros
Implica contratación de expertos temáticos
</t>
    </r>
    <r>
      <rPr>
        <b/>
        <sz val="10"/>
        <color indexed="8"/>
        <rFont val="Arial"/>
        <family val="2"/>
      </rPr>
      <t xml:space="preserve">Fac. Derecho
</t>
    </r>
    <r>
      <rPr>
        <sz val="10"/>
        <color rgb="FF000000"/>
        <rFont val="Arial"/>
        <family val="2"/>
      </rPr>
      <t>Maestría en servicios públicos domiciliarios
Maestría en contratación estatal
Maestría en derecho disciplinario</t>
    </r>
  </si>
  <si>
    <t>Estudios de Factibilidad socio - económica
Fac. Derecho
Maestría en derecho disciplinario</t>
  </si>
  <si>
    <t>Fortalecer la planta docente a nivel de maestría __ y doctorado ___.</t>
  </si>
  <si>
    <t>Seguimiento semestral a los docentes que se encuentran en formación posgradual mediante becas de la universidad Maestria __ y Doctorado 1</t>
  </si>
  <si>
    <t>Realizar  visitas tecnicas  por semestre</t>
  </si>
  <si>
    <t>Publicacion de Libros (5) correccion de estilo</t>
  </si>
  <si>
    <t>Publicacion de Libros (5) evaluacion de pares</t>
  </si>
  <si>
    <t>Publicacion de Libros (5)</t>
  </si>
  <si>
    <t>Publicación en revistas indexadas (3) correccion de estilo</t>
  </si>
  <si>
    <t>Publicación en revistas indexadas (3) evaluacion de pares</t>
  </si>
  <si>
    <t>Publicación en revistas indexadas (3)</t>
  </si>
  <si>
    <t>Publicación de cartillas (1)</t>
  </si>
  <si>
    <t>Proyecto Intervención Social mediación escolar</t>
  </si>
  <si>
    <t>Diplomados 
Conciliacion 
Arbitraje</t>
  </si>
  <si>
    <t>Promover actividades permanentes en redes que evidencien  producción intelectual</t>
  </si>
  <si>
    <t>Beca Egresados</t>
  </si>
  <si>
    <t>Mantener afiliación a  las redes a las cuales están suscritos los diferentes programas y promover nuevas vinculaciones. 
Afiliaciones 
ACOFADE: 6.000.000
Asociación Colombiana de Derecho Procesal Constitucional: 3.000.000</t>
  </si>
  <si>
    <t>Becas Beneficiarios Asproul</t>
  </si>
  <si>
    <t>Becas Beneficiarios Sinties</t>
  </si>
  <si>
    <t>Descuento Generacion E - 25%</t>
  </si>
  <si>
    <t>Descuento Intercambio Estudiantial</t>
  </si>
  <si>
    <t>Descuento Ser Pilo Paga</t>
  </si>
  <si>
    <t>Licencia Microsoft</t>
  </si>
  <si>
    <t>Honorarios Cursos seminario de grado Derecho y asesorias trabajos de grado</t>
  </si>
  <si>
    <t>Pasajes aereos docentes Seminario opcion de grado Derecho</t>
  </si>
  <si>
    <t>Hospedaje para los docentes seminario opcion de grado derecho</t>
  </si>
  <si>
    <t>Casino y restaurante seminario opcion de grado</t>
  </si>
  <si>
    <t>PROG. DE PERMANENCIA CON CALIDAD</t>
  </si>
  <si>
    <t>10030103</t>
  </si>
  <si>
    <t>Docentes sin ponencia (20)</t>
  </si>
  <si>
    <t>Estudiante sin ponencia (8)</t>
  </si>
  <si>
    <t>Estudiantes con ponencia (30)</t>
  </si>
  <si>
    <t>Docentes con ponencia (25)</t>
  </si>
  <si>
    <t>FONDO DE ESTABILIDAD ICETEX</t>
  </si>
  <si>
    <t>NOMBRE: LUISA FERNANDA HURTADO</t>
  </si>
  <si>
    <t>CARGO: Decana</t>
  </si>
  <si>
    <t>FECHA: 22-08-2019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</si>
</sst>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42" formatCode="_-&quot;$&quot;\ * #,##0_-;\-&quot;$&quot;\ * #,##0_-;_-&quot;$&quot;\ * &quot;-&quot;_-;_-@_-"/>
    <numFmt numFmtId="41" formatCode="_-* #,##0_-;\-* #,##0_-;_-* &quot;-&quot;_-;_-@_-"/>
    <numFmt numFmtId="164" formatCode="&quot;$&quot;#,##0;[Red]\-&quot;$&quot;#,##0"/>
    <numFmt numFmtId="165" formatCode="_-&quot;$&quot;* #,##0.00_-;\-&quot;$&quot;* #,##0.00_-;_-&quot;$&quot;* &quot;-&quot;??_-;_-@_-"/>
    <numFmt numFmtId="166" formatCode="_(* #,##0.00_);_(* \(#,##0.00\);_(* &quot;-&quot;??_);_(@_)"/>
    <numFmt numFmtId="167" formatCode="_ * #,##0.00_ ;_ * \-#,##0.00_ ;_ * &quot;-&quot;??_ ;_ @_ "/>
    <numFmt numFmtId="168" formatCode="_ * #,##0_ ;_ * \-#,##0_ ;_ * &quot;-&quot;??_ ;_ @_ "/>
    <numFmt numFmtId="169" formatCode="_(* #,##0_);_(* \(#,##0\);_(* &quot;-&quot;??_);_(@_)"/>
    <numFmt numFmtId="170" formatCode="_ [$€-2]\ * #,##0.00_ ;_ [$€-2]\ * \-#,##0.00_ ;_ [$€-2]\ * &quot;-&quot;??_ "/>
    <numFmt numFmtId="171" formatCode="_-* #,##0.00\ _€_-;\-* #,##0.00\ _€_-;_-* &quot;-&quot;??\ _€_-;_-@_-"/>
    <numFmt numFmtId="172" formatCode="_ &quot;$&quot;\ * #,##0.00_ ;_ &quot;$&quot;\ * \-#,##0.00_ ;_ &quot;$&quot;\ * &quot;-&quot;??_ ;_ @_ "/>
    <numFmt numFmtId="173" formatCode="_-&quot;$&quot;* #,##0_-;\-&quot;$&quot;* #,##0_-;_-&quot;$&quot;* &quot;-&quot;??_-;_-@_-"/>
  </numFmts>
  <fonts count="57">
    <font>
      <sz val="11"/>
      <color theme="1"/>
      <name val="Calibri"/>
      <family val="2"/>
      <scheme val="minor"/>
    </font>
    <font>
      <sz val="10"/>
      <color indexed="8"/>
      <name val="MS Sans Serif"/>
      <family val="2"/>
    </font>
    <font>
      <sz val="10"/>
      <name val="Arial"/>
      <family val="2"/>
    </font>
    <font>
      <b/>
      <sz val="7.5"/>
      <color indexed="8"/>
      <name val="Arial"/>
      <family val="2"/>
    </font>
    <font>
      <b/>
      <sz val="11"/>
      <color indexed="8"/>
      <name val="Calibri"/>
      <family val="2"/>
    </font>
    <font>
      <sz val="11"/>
      <color indexed="8"/>
      <name val="Calibri"/>
      <family val="2"/>
    </font>
    <font>
      <sz val="11"/>
      <color indexed="9"/>
      <name val="Calibri"/>
      <family val="2"/>
    </font>
    <font>
      <sz val="10"/>
      <name val="Helv"/>
      <charset val="204"/>
    </font>
    <font>
      <u/>
      <sz val="10"/>
      <color indexed="12"/>
      <name val="Arial"/>
      <family val="2"/>
    </font>
    <font>
      <sz val="7.8"/>
      <color indexed="8"/>
      <name val="Arial"/>
      <family val="2"/>
    </font>
    <font>
      <sz val="8.25"/>
      <color indexed="8"/>
      <name val="Arial"/>
      <family val="2"/>
    </font>
    <font>
      <b/>
      <sz val="18"/>
      <color indexed="62"/>
      <name val="Cambria"/>
      <family val="2"/>
    </font>
    <font>
      <sz val="8"/>
      <color indexed="8"/>
      <name val="Arial Unicode MS"/>
      <family val="2"/>
    </font>
    <font>
      <b/>
      <sz val="10"/>
      <color indexed="8"/>
      <name val="Arial"/>
      <family val="2"/>
    </font>
    <font>
      <sz val="10"/>
      <color indexed="8"/>
      <name val="Arial"/>
      <family val="2"/>
    </font>
    <font>
      <b/>
      <sz val="14"/>
      <color indexed="8"/>
      <name val="Arial"/>
      <family val="2"/>
    </font>
    <font>
      <sz val="14"/>
      <color indexed="8"/>
      <name val="Arial"/>
      <family val="2"/>
    </font>
    <font>
      <b/>
      <sz val="16"/>
      <name val="Arial"/>
      <family val="2"/>
    </font>
    <font>
      <b/>
      <sz val="10"/>
      <name val="Arial"/>
      <family val="2"/>
    </font>
    <font>
      <b/>
      <sz val="11"/>
      <name val="Arial"/>
      <family val="2"/>
    </font>
    <font>
      <sz val="10"/>
      <color indexed="8"/>
      <name val="Arial"/>
      <family val="2"/>
    </font>
    <font>
      <b/>
      <sz val="10"/>
      <color indexed="8"/>
      <name val="Arial"/>
      <family val="2"/>
    </font>
    <font>
      <b/>
      <sz val="8"/>
      <color indexed="8"/>
      <name val="Arial"/>
      <family val="2"/>
    </font>
    <font>
      <sz val="8"/>
      <color indexed="8"/>
      <name val="Arial"/>
      <family val="2"/>
    </font>
    <font>
      <sz val="10"/>
      <color indexed="8"/>
      <name val="Arial Unicode MS"/>
    </font>
    <font>
      <sz val="11"/>
      <color theme="1"/>
      <name val="Calibri"/>
      <family val="2"/>
      <scheme val="minor"/>
    </font>
    <font>
      <b/>
      <sz val="11"/>
      <color theme="1"/>
      <name val="Calibri"/>
      <family val="2"/>
      <scheme val="minor"/>
    </font>
    <font>
      <sz val="12"/>
      <color theme="1"/>
      <name val="Arial"/>
      <family val="2"/>
    </font>
    <font>
      <b/>
      <sz val="16"/>
      <color theme="1"/>
      <name val="Arial"/>
      <family val="2"/>
    </font>
    <font>
      <sz val="11"/>
      <color theme="1"/>
      <name val="Arial"/>
      <family val="2"/>
    </font>
    <font>
      <sz val="10"/>
      <color theme="1"/>
      <name val="Arial"/>
      <family val="2"/>
    </font>
    <font>
      <sz val="14"/>
      <color theme="1"/>
      <name val="Arial"/>
      <family val="2"/>
    </font>
    <font>
      <b/>
      <sz val="14"/>
      <color theme="0"/>
      <name val="Arial"/>
      <family val="2"/>
    </font>
    <font>
      <b/>
      <sz val="11"/>
      <color theme="0"/>
      <name val="Arial"/>
      <family val="2"/>
    </font>
    <font>
      <b/>
      <sz val="10"/>
      <color theme="1"/>
      <name val="Arial"/>
      <family val="2"/>
    </font>
    <font>
      <b/>
      <sz val="10"/>
      <color theme="0"/>
      <name val="Arial"/>
      <family val="2"/>
    </font>
    <font>
      <b/>
      <sz val="10"/>
      <color rgb="FFFF0000"/>
      <name val="Arial"/>
      <family val="2"/>
    </font>
    <font>
      <sz val="8"/>
      <color theme="1"/>
      <name val="Arial"/>
      <family val="2"/>
    </font>
    <font>
      <b/>
      <sz val="14"/>
      <color theme="0"/>
      <name val="Arial Black"/>
      <family val="2"/>
    </font>
    <font>
      <b/>
      <sz val="16"/>
      <color theme="0"/>
      <name val="Arial Black"/>
      <family val="2"/>
    </font>
    <font>
      <b/>
      <sz val="18"/>
      <color theme="1"/>
      <name val="Arial"/>
      <family val="2"/>
    </font>
    <font>
      <b/>
      <sz val="12"/>
      <color theme="1"/>
      <name val="Arial"/>
      <family val="2"/>
    </font>
    <font>
      <b/>
      <sz val="14"/>
      <color theme="1"/>
      <name val="Arial"/>
      <family val="2"/>
    </font>
    <font>
      <b/>
      <sz val="24"/>
      <color theme="1"/>
      <name val="Arial"/>
      <family val="2"/>
    </font>
    <font>
      <b/>
      <sz val="12"/>
      <color theme="0"/>
      <name val="Arial"/>
      <family val="2"/>
    </font>
    <font>
      <b/>
      <sz val="11"/>
      <color theme="1"/>
      <name val="Arial"/>
      <family val="2"/>
    </font>
    <font>
      <sz val="9"/>
      <color indexed="8"/>
      <name val="Arial"/>
      <family val="2"/>
    </font>
    <font>
      <sz val="9"/>
      <color theme="1"/>
      <name val="Arial"/>
      <family val="2"/>
    </font>
    <font>
      <sz val="10"/>
      <color rgb="FF000000"/>
      <name val="Arial"/>
      <family val="2"/>
    </font>
    <font>
      <b/>
      <sz val="10"/>
      <color theme="1"/>
      <name val="Arial Narrow"/>
      <family val="2"/>
    </font>
    <font>
      <b/>
      <sz val="10"/>
      <color indexed="8"/>
      <name val="Arial Narrow"/>
      <family val="2"/>
    </font>
    <font>
      <b/>
      <sz val="10"/>
      <color rgb="FF000000"/>
      <name val="Arial Narrow"/>
      <family val="2"/>
    </font>
    <font>
      <sz val="18"/>
      <name val="Arial"/>
      <family val="2"/>
    </font>
    <font>
      <b/>
      <sz val="8"/>
      <color theme="0"/>
      <name val="Arial"/>
      <family val="2"/>
    </font>
    <font>
      <b/>
      <sz val="9"/>
      <color theme="0"/>
      <name val="Arial"/>
      <family val="2"/>
    </font>
    <font>
      <b/>
      <sz val="9"/>
      <color indexed="8"/>
      <name val="Arial"/>
      <family val="2"/>
    </font>
    <font>
      <sz val="11"/>
      <color indexed="8"/>
      <name val="Calibri"/>
      <family val="2"/>
      <scheme val="minor"/>
    </font>
  </fonts>
  <fills count="32">
    <fill>
      <patternFill patternType="none"/>
    </fill>
    <fill>
      <patternFill patternType="gray125"/>
    </fill>
    <fill>
      <patternFill patternType="lightUp">
        <fgColor indexed="9"/>
        <bgColor indexed="55"/>
      </patternFill>
    </fill>
    <fill>
      <patternFill patternType="lightUp">
        <fgColor indexed="9"/>
        <bgColor indexed="29"/>
      </patternFill>
    </fill>
    <fill>
      <patternFill patternType="lightUp">
        <fgColor indexed="9"/>
        <bgColor indexed="22"/>
      </patternFill>
    </fill>
    <fill>
      <patternFill patternType="solid">
        <fgColor indexed="31"/>
        <bgColor indexed="31"/>
      </patternFill>
    </fill>
    <fill>
      <patternFill patternType="solid">
        <fgColor indexed="44"/>
        <bgColor indexed="44"/>
      </patternFill>
    </fill>
    <fill>
      <patternFill patternType="solid">
        <fgColor indexed="26"/>
        <bgColor indexed="26"/>
      </patternFill>
    </fill>
    <fill>
      <patternFill patternType="solid">
        <fgColor indexed="22"/>
        <bgColor indexed="22"/>
      </patternFill>
    </fill>
    <fill>
      <patternFill patternType="solid">
        <fgColor indexed="55"/>
        <bgColor indexed="55"/>
      </patternFill>
    </fill>
    <fill>
      <patternFill patternType="solid">
        <fgColor indexed="42"/>
        <bgColor indexed="42"/>
      </patternFill>
    </fill>
    <fill>
      <patternFill patternType="solid">
        <fgColor indexed="27"/>
        <bgColor indexed="27"/>
      </patternFill>
    </fill>
    <fill>
      <patternFill patternType="solid">
        <fgColor indexed="47"/>
        <bgColor indexed="47"/>
      </patternFill>
    </fill>
    <fill>
      <patternFill patternType="solid">
        <fgColor indexed="9"/>
        <bgColor indexed="64"/>
      </patternFill>
    </fill>
    <fill>
      <patternFill patternType="solid">
        <fgColor theme="0"/>
        <bgColor indexed="64"/>
      </patternFill>
    </fill>
    <fill>
      <patternFill patternType="solid">
        <fgColor theme="4" tint="-0.249977111117893"/>
        <bgColor rgb="FFC00000"/>
      </patternFill>
    </fill>
    <fill>
      <patternFill patternType="solid">
        <fgColor theme="0"/>
        <bgColor rgb="FFFFFFFF"/>
      </patternFill>
    </fill>
    <fill>
      <patternFill patternType="solid">
        <fgColor theme="4" tint="-0.249977111117893"/>
        <bgColor rgb="FFFFFFFF"/>
      </patternFill>
    </fill>
    <fill>
      <patternFill patternType="solid">
        <fgColor rgb="FFFFFFFF"/>
        <bgColor indexed="64"/>
      </patternFill>
    </fill>
    <fill>
      <patternFill patternType="solid">
        <fgColor theme="3" tint="0.79998168889431442"/>
        <bgColor rgb="FFFFFFFF"/>
      </patternFill>
    </fill>
    <fill>
      <patternFill patternType="solid">
        <fgColor theme="0" tint="-0.14999847407452621"/>
        <bgColor indexed="64"/>
      </patternFill>
    </fill>
    <fill>
      <patternFill patternType="solid">
        <fgColor theme="4" tint="-0.249977111117893"/>
        <bgColor indexed="64"/>
      </patternFill>
    </fill>
    <fill>
      <patternFill patternType="solid">
        <fgColor theme="0"/>
        <bgColor rgb="FFC00000"/>
      </patternFill>
    </fill>
    <fill>
      <patternFill patternType="solid">
        <fgColor theme="6" tint="0.39997558519241921"/>
        <bgColor indexed="64"/>
      </patternFill>
    </fill>
    <fill>
      <patternFill patternType="solid">
        <fgColor theme="0" tint="-4.9989318521683403E-2"/>
        <bgColor indexed="64"/>
      </patternFill>
    </fill>
    <fill>
      <patternFill patternType="solid">
        <fgColor theme="6" tint="0.79998168889431442"/>
        <bgColor indexed="64"/>
      </patternFill>
    </fill>
    <fill>
      <patternFill patternType="solid">
        <fgColor theme="4" tint="0.59999389629810485"/>
        <bgColor indexed="64"/>
      </patternFill>
    </fill>
    <fill>
      <patternFill patternType="solid">
        <fgColor theme="8" tint="0.79998168889431442"/>
        <bgColor indexed="64"/>
      </patternFill>
    </fill>
    <fill>
      <patternFill patternType="solid">
        <fgColor theme="8" tint="0.39997558519241921"/>
        <bgColor indexed="64"/>
      </patternFill>
    </fill>
    <fill>
      <patternFill patternType="solid">
        <fgColor theme="3" tint="0.79998168889431442"/>
        <bgColor indexed="64"/>
      </patternFill>
    </fill>
    <fill>
      <patternFill patternType="solid">
        <fgColor theme="5" tint="0.59999389629810485"/>
        <bgColor indexed="64"/>
      </patternFill>
    </fill>
    <fill>
      <patternFill patternType="solid">
        <fgColor theme="3" tint="0.59999389629810485"/>
        <bgColor indexed="64"/>
      </patternFill>
    </fill>
  </fills>
  <borders count="120">
    <border>
      <left/>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hair">
        <color indexed="64"/>
      </bottom>
      <diagonal/>
    </border>
    <border>
      <left/>
      <right style="medium">
        <color indexed="64"/>
      </right>
      <top/>
      <bottom style="hair">
        <color indexed="64"/>
      </bottom>
      <diagonal/>
    </border>
    <border>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medium">
        <color indexed="64"/>
      </left>
      <right/>
      <top style="hair">
        <color indexed="64"/>
      </top>
      <bottom style="hair">
        <color indexed="64"/>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right style="medium">
        <color indexed="64"/>
      </right>
      <top style="medium">
        <color indexed="64"/>
      </top>
      <bottom style="hair">
        <color indexed="64"/>
      </bottom>
      <diagonal/>
    </border>
    <border>
      <left style="medium">
        <color indexed="64"/>
      </left>
      <right/>
      <top style="medium">
        <color indexed="64"/>
      </top>
      <bottom style="hair">
        <color indexed="64"/>
      </bottom>
      <diagonal/>
    </border>
    <border>
      <left/>
      <right style="medium">
        <color indexed="64"/>
      </right>
      <top style="hair">
        <color indexed="64"/>
      </top>
      <bottom style="medium">
        <color indexed="64"/>
      </bottom>
      <diagonal/>
    </border>
    <border>
      <left style="medium">
        <color indexed="64"/>
      </left>
      <right style="thin">
        <color indexed="64"/>
      </right>
      <top style="hair">
        <color indexed="64"/>
      </top>
      <bottom style="medium">
        <color indexed="64"/>
      </bottom>
      <diagonal/>
    </border>
    <border>
      <left style="medium">
        <color indexed="64"/>
      </left>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diagonal/>
    </border>
    <border>
      <left/>
      <right style="medium">
        <color indexed="64"/>
      </right>
      <top style="hair">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thin">
        <color indexed="64"/>
      </right>
      <top/>
      <bottom style="hair">
        <color indexed="64"/>
      </bottom>
      <diagonal/>
    </border>
    <border>
      <left style="medium">
        <color indexed="64"/>
      </left>
      <right/>
      <top/>
      <bottom style="hair">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medium">
        <color indexed="64"/>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medium">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style="medium">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medium">
        <color indexed="64"/>
      </left>
      <right/>
      <top style="thin">
        <color indexed="64"/>
      </top>
      <bottom/>
      <diagonal/>
    </border>
    <border>
      <left/>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right/>
      <top style="hair">
        <color indexed="64"/>
      </top>
      <bottom style="hair">
        <color indexed="64"/>
      </bottom>
      <diagonal/>
    </border>
    <border>
      <left style="medium">
        <color indexed="64"/>
      </left>
      <right style="medium">
        <color indexed="64"/>
      </right>
      <top style="medium">
        <color indexed="64"/>
      </top>
      <bottom style="hair">
        <color indexed="64"/>
      </bottom>
      <diagonal/>
    </border>
    <border>
      <left/>
      <right/>
      <top style="medium">
        <color indexed="64"/>
      </top>
      <bottom style="hair">
        <color indexed="64"/>
      </bottom>
      <diagonal/>
    </border>
    <border>
      <left style="medium">
        <color indexed="64"/>
      </left>
      <right style="medium">
        <color indexed="64"/>
      </right>
      <top style="hair">
        <color indexed="64"/>
      </top>
      <bottom style="medium">
        <color indexed="64"/>
      </bottom>
      <diagonal/>
    </border>
    <border>
      <left/>
      <right/>
      <top style="hair">
        <color indexed="64"/>
      </top>
      <bottom style="medium">
        <color indexed="64"/>
      </bottom>
      <diagonal/>
    </border>
    <border>
      <left style="medium">
        <color indexed="64"/>
      </left>
      <right style="medium">
        <color indexed="64"/>
      </right>
      <top style="hair">
        <color indexed="64"/>
      </top>
      <bottom/>
      <diagonal/>
    </border>
    <border>
      <left/>
      <right/>
      <top style="hair">
        <color indexed="64"/>
      </top>
      <bottom/>
      <diagonal/>
    </border>
    <border>
      <left/>
      <right/>
      <top/>
      <bottom style="hair">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style="thin">
        <color indexed="64"/>
      </right>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diagonalDown="1">
      <left style="thin">
        <color theme="0"/>
      </left>
      <right style="thin">
        <color theme="0"/>
      </right>
      <top style="thin">
        <color theme="0"/>
      </top>
      <bottom style="thin">
        <color theme="0"/>
      </bottom>
      <diagonal style="thin">
        <color theme="0"/>
      </diagonal>
    </border>
    <border>
      <left style="medium">
        <color theme="0"/>
      </left>
      <right/>
      <top style="thin">
        <color theme="0"/>
      </top>
      <bottom style="thin">
        <color theme="0"/>
      </bottom>
      <diagonal/>
    </border>
    <border diagonalDown="1">
      <left/>
      <right style="thin">
        <color theme="0"/>
      </right>
      <top style="thin">
        <color theme="0"/>
      </top>
      <bottom style="thin">
        <color theme="0"/>
      </bottom>
      <diagonal style="thin">
        <color theme="0"/>
      </diagonal>
    </border>
    <border diagonalDown="1">
      <left/>
      <right style="thin">
        <color theme="0"/>
      </right>
      <top style="thin">
        <color theme="0"/>
      </top>
      <bottom/>
      <diagonal style="thin">
        <color theme="0"/>
      </diagonal>
    </border>
    <border diagonalDown="1">
      <left style="thin">
        <color theme="0"/>
      </left>
      <right style="thin">
        <color theme="0"/>
      </right>
      <top style="thin">
        <color theme="0"/>
      </top>
      <bottom/>
      <diagonal style="thin">
        <color theme="0"/>
      </diagonal>
    </border>
    <border>
      <left/>
      <right/>
      <top style="thin">
        <color theme="0"/>
      </top>
      <bottom style="thin">
        <color theme="0"/>
      </bottom>
      <diagonal/>
    </border>
    <border>
      <left style="thin">
        <color theme="0"/>
      </left>
      <right/>
      <top/>
      <bottom style="thin">
        <color theme="0"/>
      </bottom>
      <diagonal/>
    </border>
    <border>
      <left style="thin">
        <color theme="0"/>
      </left>
      <right style="thin">
        <color theme="0"/>
      </right>
      <top/>
      <bottom/>
      <diagonal/>
    </border>
    <border>
      <left style="thin">
        <color theme="0"/>
      </left>
      <right/>
      <top/>
      <bottom/>
      <diagonal/>
    </border>
    <border>
      <left style="medium">
        <color theme="0"/>
      </left>
      <right style="medium">
        <color theme="0"/>
      </right>
      <top/>
      <bottom/>
      <diagonal/>
    </border>
    <border>
      <left style="medium">
        <color theme="0"/>
      </left>
      <right style="medium">
        <color theme="0"/>
      </right>
      <top style="medium">
        <color indexed="64"/>
      </top>
      <bottom style="medium">
        <color indexed="64"/>
      </bottom>
      <diagonal/>
    </border>
    <border>
      <left style="medium">
        <color theme="0"/>
      </left>
      <right style="medium">
        <color theme="0"/>
      </right>
      <top style="medium">
        <color indexed="64"/>
      </top>
      <bottom/>
      <diagonal/>
    </border>
    <border>
      <left style="thin">
        <color theme="0"/>
      </left>
      <right/>
      <top style="thin">
        <color theme="0"/>
      </top>
      <bottom/>
      <diagonal/>
    </border>
    <border>
      <left style="thin">
        <color theme="0"/>
      </left>
      <right/>
      <top style="thin">
        <color theme="0"/>
      </top>
      <bottom style="thin">
        <color theme="0"/>
      </bottom>
      <diagonal/>
    </border>
    <border>
      <left/>
      <right style="medium">
        <color indexed="64"/>
      </right>
      <top style="medium">
        <color indexed="64"/>
      </top>
      <bottom style="medium">
        <color theme="0"/>
      </bottom>
      <diagonal/>
    </border>
    <border>
      <left/>
      <right/>
      <top style="thin">
        <color theme="0"/>
      </top>
      <bottom/>
      <diagonal/>
    </border>
    <border>
      <left/>
      <right/>
      <top/>
      <bottom style="thin">
        <color theme="0"/>
      </bottom>
      <diagonal/>
    </border>
    <border>
      <left/>
      <right style="thin">
        <color theme="0"/>
      </right>
      <top style="thin">
        <color theme="0"/>
      </top>
      <bottom style="thin">
        <color theme="0"/>
      </bottom>
      <diagonal/>
    </border>
    <border>
      <left/>
      <right style="thin">
        <color theme="0"/>
      </right>
      <top/>
      <bottom style="thin">
        <color theme="0"/>
      </bottom>
      <diagonal/>
    </border>
    <border>
      <left/>
      <right style="thin">
        <color theme="0"/>
      </right>
      <top style="thin">
        <color theme="0"/>
      </top>
      <bottom/>
      <diagonal/>
    </border>
    <border>
      <left style="medium">
        <color indexed="8"/>
      </left>
      <right/>
      <top style="medium">
        <color indexed="8"/>
      </top>
      <bottom style="medium">
        <color indexed="8"/>
      </bottom>
      <diagonal/>
    </border>
    <border>
      <left/>
      <right/>
      <top style="medium">
        <color indexed="8"/>
      </top>
      <bottom style="medium">
        <color indexed="8"/>
      </bottom>
      <diagonal/>
    </border>
    <border>
      <left/>
      <right style="medium">
        <color indexed="8"/>
      </right>
      <top style="medium">
        <color indexed="8"/>
      </top>
      <bottom style="medium">
        <color indexed="8"/>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medium">
        <color indexed="64"/>
      </right>
      <top/>
      <bottom/>
      <diagonal/>
    </border>
    <border>
      <left style="medium">
        <color indexed="64"/>
      </left>
      <right style="thin">
        <color indexed="64"/>
      </right>
      <top/>
      <bottom/>
      <diagonal/>
    </border>
    <border>
      <left style="thin">
        <color indexed="64"/>
      </left>
      <right style="thin">
        <color indexed="64"/>
      </right>
      <top/>
      <bottom/>
      <diagonal/>
    </border>
  </borders>
  <cellStyleXfs count="109">
    <xf numFmtId="0" fontId="0" fillId="0" borderId="0"/>
    <xf numFmtId="0" fontId="4" fillId="2"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6"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6" fillId="9" borderId="0" applyNumberFormat="0" applyBorder="0" applyAlignment="0" applyProtection="0"/>
    <xf numFmtId="0" fontId="5" fillId="7" borderId="0" applyNumberFormat="0" applyBorder="0" applyAlignment="0" applyProtection="0"/>
    <xf numFmtId="0" fontId="5" fillId="10" borderId="0" applyNumberFormat="0" applyBorder="0" applyAlignment="0" applyProtection="0"/>
    <xf numFmtId="0" fontId="6" fillId="8" borderId="0" applyNumberFormat="0" applyBorder="0" applyAlignment="0" applyProtection="0"/>
    <xf numFmtId="0" fontId="5" fillId="5" borderId="0" applyNumberFormat="0" applyBorder="0" applyAlignment="0" applyProtection="0"/>
    <xf numFmtId="0" fontId="5" fillId="8" borderId="0" applyNumberFormat="0" applyBorder="0" applyAlignment="0" applyProtection="0"/>
    <xf numFmtId="0" fontId="6" fillId="8" borderId="0" applyNumberFormat="0" applyBorder="0" applyAlignment="0" applyProtection="0"/>
    <xf numFmtId="0" fontId="5" fillId="11" borderId="0" applyNumberFormat="0" applyBorder="0" applyAlignment="0" applyProtection="0"/>
    <xf numFmtId="0" fontId="5" fillId="5" borderId="0" applyNumberFormat="0" applyBorder="0" applyAlignment="0" applyProtection="0"/>
    <xf numFmtId="0" fontId="6" fillId="6" borderId="0" applyNumberFormat="0" applyBorder="0" applyAlignment="0" applyProtection="0"/>
    <xf numFmtId="0" fontId="5" fillId="7" borderId="0" applyNumberFormat="0" applyBorder="0" applyAlignment="0" applyProtection="0"/>
    <xf numFmtId="0" fontId="5" fillId="12" borderId="0" applyNumberFormat="0" applyBorder="0" applyAlignment="0" applyProtection="0"/>
    <xf numFmtId="0" fontId="6" fillId="12" borderId="0" applyNumberFormat="0" applyBorder="0" applyAlignment="0" applyProtection="0"/>
    <xf numFmtId="0" fontId="7" fillId="0" borderId="0"/>
    <xf numFmtId="170" fontId="2" fillId="0" borderId="0" applyFont="0" applyFill="0" applyBorder="0" applyAlignment="0" applyProtection="0"/>
    <xf numFmtId="170" fontId="2" fillId="0" borderId="0" applyFont="0" applyFill="0" applyBorder="0" applyAlignment="0" applyProtection="0"/>
    <xf numFmtId="0" fontId="8" fillId="0" borderId="0" applyNumberFormat="0" applyFill="0" applyBorder="0" applyAlignment="0" applyProtection="0">
      <alignment vertical="top"/>
      <protection locked="0"/>
    </xf>
    <xf numFmtId="166" fontId="25"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171" fontId="25" fillId="0" borderId="0" applyFont="0" applyFill="0" applyBorder="0" applyAlignment="0" applyProtection="0"/>
    <xf numFmtId="166" fontId="9" fillId="0" borderId="0" applyFont="0" applyFill="0" applyBorder="0" applyAlignment="0" applyProtection="0"/>
    <xf numFmtId="166" fontId="9"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71" fontId="5"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6" fontId="25" fillId="0" borderId="0" applyFont="0" applyFill="0" applyBorder="0" applyAlignment="0" applyProtection="0"/>
    <xf numFmtId="171" fontId="5" fillId="0" borderId="0" applyFont="0" applyFill="0" applyBorder="0" applyAlignment="0" applyProtection="0"/>
    <xf numFmtId="0" fontId="2" fillId="0" borderId="0" applyFont="0" applyFill="0" applyBorder="0" applyAlignment="0" applyProtection="0"/>
    <xf numFmtId="167" fontId="2" fillId="0" borderId="0" applyFont="0" applyFill="0" applyBorder="0" applyAlignment="0" applyProtection="0"/>
    <xf numFmtId="171" fontId="25" fillId="0" borderId="0" applyFont="0" applyFill="0" applyBorder="0" applyAlignment="0" applyProtection="0"/>
    <xf numFmtId="166" fontId="3" fillId="0" borderId="0" applyFont="0" applyFill="0" applyBorder="0" applyAlignment="0" applyProtection="0"/>
    <xf numFmtId="167" fontId="2" fillId="0" borderId="0" applyFont="0" applyFill="0" applyBorder="0" applyAlignment="0" applyProtection="0"/>
    <xf numFmtId="171" fontId="10" fillId="0" borderId="0" applyFont="0" applyFill="0" applyBorder="0" applyAlignment="0" applyProtection="0"/>
    <xf numFmtId="167" fontId="2" fillId="0" borderId="0" applyFont="0" applyFill="0" applyBorder="0" applyAlignment="0" applyProtection="0"/>
    <xf numFmtId="171" fontId="25" fillId="0" borderId="0" applyFont="0" applyFill="0" applyBorder="0" applyAlignment="0" applyProtection="0"/>
    <xf numFmtId="166" fontId="2" fillId="0" borderId="0" applyFont="0" applyFill="0" applyBorder="0" applyAlignment="0" applyProtection="0"/>
    <xf numFmtId="171" fontId="25" fillId="0" borderId="0" applyFont="0" applyFill="0" applyBorder="0" applyAlignment="0" applyProtection="0"/>
    <xf numFmtId="171"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42" fontId="25" fillId="0" borderId="0" applyFont="0" applyFill="0" applyBorder="0" applyAlignment="0" applyProtection="0"/>
    <xf numFmtId="172" fontId="2" fillId="0" borderId="0" applyFont="0" applyFill="0" applyBorder="0" applyAlignment="0" applyProtection="0"/>
    <xf numFmtId="173" fontId="2" fillId="0" borderId="0" applyFont="0" applyFill="0" applyBorder="0" applyAlignment="0" applyProtection="0"/>
    <xf numFmtId="167" fontId="2" fillId="0" borderId="0" applyFont="0" applyFill="0" applyBorder="0" applyAlignment="0" applyProtection="0"/>
    <xf numFmtId="173" fontId="2" fillId="0" borderId="0" applyFont="0" applyFill="0" applyBorder="0" applyAlignment="0" applyProtection="0"/>
    <xf numFmtId="173" fontId="2" fillId="0" borderId="0" applyFont="0" applyFill="0" applyBorder="0" applyAlignment="0" applyProtection="0"/>
    <xf numFmtId="165" fontId="2" fillId="0" borderId="0" applyFont="0" applyFill="0" applyBorder="0" applyAlignment="0" applyProtection="0"/>
    <xf numFmtId="0" fontId="25" fillId="0" borderId="0"/>
    <xf numFmtId="0" fontId="2" fillId="0" borderId="0"/>
    <xf numFmtId="0" fontId="2" fillId="0" borderId="0"/>
    <xf numFmtId="0" fontId="25" fillId="0" borderId="0"/>
    <xf numFmtId="0" fontId="2" fillId="0" borderId="0"/>
    <xf numFmtId="0" fontId="2" fillId="0" borderId="0"/>
    <xf numFmtId="0" fontId="1" fillId="0" borderId="0"/>
    <xf numFmtId="0" fontId="25" fillId="0" borderId="0"/>
    <xf numFmtId="0" fontId="25" fillId="0" borderId="0"/>
    <xf numFmtId="0" fontId="25" fillId="0" borderId="0"/>
    <xf numFmtId="0" fontId="1" fillId="0" borderId="0"/>
    <xf numFmtId="0" fontId="5" fillId="0" borderId="0"/>
    <xf numFmtId="0" fontId="25" fillId="0" borderId="0"/>
    <xf numFmtId="9" fontId="5"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5" fillId="0" borderId="0" applyFont="0" applyFill="0" applyBorder="0" applyAlignment="0" applyProtection="0"/>
    <xf numFmtId="9" fontId="2"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2" fillId="0" borderId="0" applyFont="0" applyFill="0" applyBorder="0" applyAlignment="0" applyProtection="0"/>
    <xf numFmtId="9" fontId="25"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0" fontId="11" fillId="0" borderId="0" applyNumberFormat="0" applyFill="0" applyBorder="0" applyAlignment="0" applyProtection="0"/>
    <xf numFmtId="41" fontId="25" fillId="0" borderId="0" applyFont="0" applyFill="0" applyBorder="0" applyAlignment="0" applyProtection="0"/>
    <xf numFmtId="9" fontId="25" fillId="0" borderId="0" applyFont="0" applyFill="0" applyBorder="0" applyAlignment="0" applyProtection="0"/>
    <xf numFmtId="0" fontId="56" fillId="0" borderId="0"/>
  </cellStyleXfs>
  <cellXfs count="685">
    <xf numFmtId="0" fontId="0" fillId="0" borderId="0" xfId="0"/>
    <xf numFmtId="0" fontId="27" fillId="0" borderId="92" xfId="0" applyFont="1" applyBorder="1" applyAlignment="1">
      <alignment vertical="center"/>
    </xf>
    <xf numFmtId="0" fontId="28" fillId="0" borderId="93" xfId="0" applyFont="1" applyBorder="1" applyAlignment="1">
      <alignment vertical="center"/>
    </xf>
    <xf numFmtId="0" fontId="27" fillId="0" borderId="94" xfId="0" applyFont="1" applyBorder="1" applyAlignment="1">
      <alignment vertical="center"/>
    </xf>
    <xf numFmtId="0" fontId="27" fillId="0" borderId="95" xfId="0" applyFont="1" applyBorder="1" applyAlignment="1">
      <alignment vertical="center"/>
    </xf>
    <xf numFmtId="0" fontId="27" fillId="0" borderId="96" xfId="0" applyFont="1" applyBorder="1" applyAlignment="1">
      <alignment vertical="center"/>
    </xf>
    <xf numFmtId="0" fontId="27" fillId="0" borderId="97" xfId="0" applyFont="1" applyBorder="1" applyAlignment="1">
      <alignment vertical="center"/>
    </xf>
    <xf numFmtId="0" fontId="29" fillId="14" borderId="0" xfId="0" applyFont="1" applyFill="1" applyAlignment="1">
      <alignment vertical="center"/>
    </xf>
    <xf numFmtId="4" fontId="27" fillId="0" borderId="97" xfId="0" applyNumberFormat="1" applyFont="1" applyBorder="1" applyAlignment="1">
      <alignment vertical="center"/>
    </xf>
    <xf numFmtId="1" fontId="30" fillId="0" borderId="6" xfId="0" applyNumberFormat="1" applyFont="1" applyBorder="1" applyAlignment="1">
      <alignment horizontal="center" vertical="center"/>
    </xf>
    <xf numFmtId="49" fontId="30" fillId="0" borderId="6" xfId="0" applyNumberFormat="1" applyFont="1" applyBorder="1" applyAlignment="1">
      <alignment horizontal="center" vertical="center"/>
    </xf>
    <xf numFmtId="4" fontId="30" fillId="0" borderId="6" xfId="0" applyNumberFormat="1" applyFont="1" applyBorder="1" applyAlignment="1">
      <alignment horizontal="center" vertical="center"/>
    </xf>
    <xf numFmtId="4" fontId="27" fillId="0" borderId="8" xfId="0" applyNumberFormat="1" applyFont="1" applyBorder="1" applyAlignment="1">
      <alignment vertical="center"/>
    </xf>
    <xf numFmtId="4" fontId="27" fillId="0" borderId="9" xfId="0" applyNumberFormat="1" applyFont="1" applyBorder="1" applyAlignment="1">
      <alignment vertical="center"/>
    </xf>
    <xf numFmtId="4" fontId="27" fillId="0" borderId="10" xfId="0" applyNumberFormat="1" applyFont="1" applyBorder="1" applyAlignment="1">
      <alignment vertical="center"/>
    </xf>
    <xf numFmtId="4" fontId="27" fillId="0" borderId="6" xfId="0" applyNumberFormat="1" applyFont="1" applyBorder="1" applyAlignment="1">
      <alignment vertical="center"/>
    </xf>
    <xf numFmtId="4" fontId="27" fillId="0" borderId="11" xfId="0" applyNumberFormat="1" applyFont="1" applyBorder="1" applyAlignment="1">
      <alignment vertical="center"/>
    </xf>
    <xf numFmtId="4" fontId="27" fillId="0" borderId="12" xfId="0" applyNumberFormat="1" applyFont="1" applyBorder="1" applyAlignment="1">
      <alignment vertical="center"/>
    </xf>
    <xf numFmtId="1" fontId="30" fillId="0" borderId="8" xfId="0" applyNumberFormat="1" applyFont="1" applyBorder="1" applyAlignment="1">
      <alignment horizontal="center" vertical="center"/>
    </xf>
    <xf numFmtId="49" fontId="30" fillId="0" borderId="8" xfId="0" applyNumberFormat="1" applyFont="1" applyBorder="1" applyAlignment="1">
      <alignment horizontal="center" vertical="center"/>
    </xf>
    <xf numFmtId="4" fontId="30" fillId="0" borderId="8" xfId="0" applyNumberFormat="1" applyFont="1" applyBorder="1" applyAlignment="1">
      <alignment horizontal="center" vertical="center"/>
    </xf>
    <xf numFmtId="1" fontId="30" fillId="0" borderId="16" xfId="0" applyNumberFormat="1" applyFont="1" applyBorder="1" applyAlignment="1">
      <alignment horizontal="center" vertical="center"/>
    </xf>
    <xf numFmtId="4" fontId="30" fillId="0" borderId="16" xfId="0" applyNumberFormat="1" applyFont="1" applyBorder="1" applyAlignment="1">
      <alignment horizontal="center" vertical="center"/>
    </xf>
    <xf numFmtId="4" fontId="27" fillId="0" borderId="16" xfId="0" applyNumberFormat="1" applyFont="1" applyBorder="1" applyAlignment="1">
      <alignment vertical="center"/>
    </xf>
    <xf numFmtId="4" fontId="27" fillId="0" borderId="18" xfId="0" applyNumberFormat="1" applyFont="1" applyBorder="1" applyAlignment="1">
      <alignment vertical="center"/>
    </xf>
    <xf numFmtId="4" fontId="27" fillId="0" borderId="19" xfId="0" applyNumberFormat="1" applyFont="1" applyBorder="1" applyAlignment="1">
      <alignment vertical="center"/>
    </xf>
    <xf numFmtId="1" fontId="30" fillId="0" borderId="21" xfId="0" applyNumberFormat="1" applyFont="1" applyBorder="1" applyAlignment="1">
      <alignment horizontal="center" vertical="center"/>
    </xf>
    <xf numFmtId="49" fontId="30" fillId="0" borderId="21" xfId="0" applyNumberFormat="1" applyFont="1" applyBorder="1" applyAlignment="1">
      <alignment horizontal="center" vertical="center"/>
    </xf>
    <xf numFmtId="4" fontId="30" fillId="0" borderId="21" xfId="0" applyNumberFormat="1" applyFont="1" applyBorder="1" applyAlignment="1">
      <alignment horizontal="center" vertical="center"/>
    </xf>
    <xf numFmtId="4" fontId="27" fillId="0" borderId="21" xfId="0" applyNumberFormat="1" applyFont="1" applyBorder="1" applyAlignment="1">
      <alignment vertical="center"/>
    </xf>
    <xf numFmtId="4" fontId="27" fillId="0" borderId="27" xfId="0" applyNumberFormat="1" applyFont="1" applyBorder="1" applyAlignment="1">
      <alignment vertical="center"/>
    </xf>
    <xf numFmtId="4" fontId="27" fillId="0" borderId="28" xfId="0" applyNumberFormat="1" applyFont="1" applyBorder="1" applyAlignment="1">
      <alignment vertical="center"/>
    </xf>
    <xf numFmtId="1" fontId="30" fillId="0" borderId="29" xfId="0" applyNumberFormat="1" applyFont="1" applyBorder="1" applyAlignment="1">
      <alignment horizontal="center" vertical="center"/>
    </xf>
    <xf numFmtId="4" fontId="30" fillId="0" borderId="29" xfId="0" applyNumberFormat="1" applyFont="1" applyBorder="1" applyAlignment="1">
      <alignment horizontal="center" vertical="center"/>
    </xf>
    <xf numFmtId="0" fontId="27" fillId="0" borderId="98" xfId="0" applyFont="1" applyBorder="1" applyAlignment="1">
      <alignment vertical="center"/>
    </xf>
    <xf numFmtId="0" fontId="27" fillId="0" borderId="99" xfId="0" applyFont="1" applyBorder="1" applyAlignment="1">
      <alignment vertical="center"/>
    </xf>
    <xf numFmtId="0" fontId="31" fillId="0" borderId="97" xfId="0" applyFont="1" applyBorder="1" applyAlignment="1">
      <alignment vertical="center"/>
    </xf>
    <xf numFmtId="0" fontId="27" fillId="14" borderId="31" xfId="0" applyFont="1" applyFill="1" applyBorder="1" applyAlignment="1">
      <alignment horizontal="center" vertical="center"/>
    </xf>
    <xf numFmtId="0" fontId="27" fillId="14" borderId="32" xfId="0" applyFont="1" applyFill="1" applyBorder="1" applyAlignment="1">
      <alignment horizontal="center" vertical="center"/>
    </xf>
    <xf numFmtId="0" fontId="27" fillId="14" borderId="23" xfId="0" applyFont="1" applyFill="1" applyBorder="1" applyAlignment="1">
      <alignment vertical="center"/>
    </xf>
    <xf numFmtId="0" fontId="27" fillId="14" borderId="32" xfId="0" applyFont="1" applyFill="1" applyBorder="1" applyAlignment="1">
      <alignment vertical="center"/>
    </xf>
    <xf numFmtId="0" fontId="15" fillId="14" borderId="25" xfId="89" applyNumberFormat="1" applyFont="1" applyFill="1" applyBorder="1" applyAlignment="1" applyProtection="1">
      <alignment horizontal="left" vertical="center"/>
      <protection locked="0"/>
    </xf>
    <xf numFmtId="0" fontId="15" fillId="14" borderId="0" xfId="89" applyNumberFormat="1" applyFont="1" applyFill="1" applyBorder="1" applyAlignment="1" applyProtection="1">
      <alignment horizontal="left" vertical="center"/>
      <protection locked="0"/>
    </xf>
    <xf numFmtId="49" fontId="15" fillId="14" borderId="0" xfId="89" applyNumberFormat="1" applyFont="1" applyFill="1" applyBorder="1" applyAlignment="1" applyProtection="1">
      <alignment horizontal="left" vertical="center"/>
      <protection locked="0"/>
    </xf>
    <xf numFmtId="0" fontId="15" fillId="14" borderId="0" xfId="89" applyNumberFormat="1" applyFont="1" applyFill="1" applyBorder="1" applyAlignment="1" applyProtection="1">
      <alignment vertical="center"/>
      <protection locked="0"/>
    </xf>
    <xf numFmtId="0" fontId="27" fillId="14" borderId="0" xfId="0" applyFont="1" applyFill="1" applyBorder="1" applyAlignment="1">
      <alignment vertical="center"/>
    </xf>
    <xf numFmtId="0" fontId="27" fillId="14" borderId="24" xfId="0" applyFont="1" applyFill="1" applyBorder="1" applyAlignment="1">
      <alignment vertical="center"/>
    </xf>
    <xf numFmtId="0" fontId="16" fillId="14" borderId="0" xfId="89" applyNumberFormat="1" applyFont="1" applyFill="1" applyBorder="1" applyAlignment="1" applyProtection="1">
      <alignment horizontal="left" vertical="center"/>
      <protection locked="0"/>
    </xf>
    <xf numFmtId="0" fontId="16" fillId="14" borderId="0" xfId="89" applyNumberFormat="1" applyFont="1" applyFill="1" applyBorder="1" applyAlignment="1" applyProtection="1">
      <alignment vertical="center"/>
      <protection locked="0"/>
    </xf>
    <xf numFmtId="0" fontId="27" fillId="14" borderId="33" xfId="0" applyFont="1" applyFill="1" applyBorder="1" applyAlignment="1">
      <alignment horizontal="center" vertical="center"/>
    </xf>
    <xf numFmtId="0" fontId="27" fillId="14" borderId="34" xfId="0" applyFont="1" applyFill="1" applyBorder="1" applyAlignment="1">
      <alignment horizontal="center" vertical="center"/>
    </xf>
    <xf numFmtId="0" fontId="27" fillId="14" borderId="35" xfId="0" applyFont="1" applyFill="1" applyBorder="1" applyAlignment="1">
      <alignment vertical="center"/>
    </xf>
    <xf numFmtId="0" fontId="27" fillId="14" borderId="34" xfId="0" applyFont="1" applyFill="1" applyBorder="1" applyAlignment="1">
      <alignment vertical="center"/>
    </xf>
    <xf numFmtId="168" fontId="32" fillId="15" borderId="1" xfId="0" applyNumberFormat="1" applyFont="1" applyFill="1" applyBorder="1" applyAlignment="1">
      <alignment horizontal="center" vertical="center" wrapText="1"/>
    </xf>
    <xf numFmtId="0" fontId="27" fillId="14" borderId="92" xfId="0" applyFont="1" applyFill="1" applyBorder="1" applyAlignment="1">
      <alignment vertical="center"/>
    </xf>
    <xf numFmtId="0" fontId="27" fillId="14" borderId="94" xfId="0" applyFont="1" applyFill="1" applyBorder="1" applyAlignment="1">
      <alignment vertical="center"/>
    </xf>
    <xf numFmtId="0" fontId="29" fillId="14" borderId="94" xfId="0" applyFont="1" applyFill="1" applyBorder="1" applyAlignment="1">
      <alignment vertical="center"/>
    </xf>
    <xf numFmtId="0" fontId="29" fillId="14" borderId="92" xfId="0" applyFont="1" applyFill="1" applyBorder="1" applyAlignment="1">
      <alignment vertical="center"/>
    </xf>
    <xf numFmtId="168" fontId="33" fillId="15" borderId="1" xfId="0" applyNumberFormat="1" applyFont="1" applyFill="1" applyBorder="1" applyAlignment="1">
      <alignment horizontal="center" vertical="center" wrapText="1"/>
    </xf>
    <xf numFmtId="4" fontId="27" fillId="14" borderId="94" xfId="0" applyNumberFormat="1" applyFont="1" applyFill="1" applyBorder="1" applyAlignment="1">
      <alignment vertical="center"/>
    </xf>
    <xf numFmtId="4" fontId="27" fillId="14" borderId="92" xfId="0" applyNumberFormat="1" applyFont="1" applyFill="1" applyBorder="1" applyAlignment="1">
      <alignment vertical="center"/>
    </xf>
    <xf numFmtId="0" fontId="27" fillId="14" borderId="0" xfId="0" applyFont="1" applyFill="1" applyAlignment="1">
      <alignment vertical="center"/>
    </xf>
    <xf numFmtId="0" fontId="31" fillId="14" borderId="92" xfId="0" applyFont="1" applyFill="1" applyBorder="1" applyAlignment="1">
      <alignment vertical="center"/>
    </xf>
    <xf numFmtId="0" fontId="27" fillId="14" borderId="97" xfId="0" applyFont="1" applyFill="1" applyBorder="1" applyAlignment="1">
      <alignment vertical="center"/>
    </xf>
    <xf numFmtId="2" fontId="27" fillId="14" borderId="0" xfId="0" applyNumberFormat="1" applyFont="1" applyFill="1" applyAlignment="1">
      <alignment vertical="center" wrapText="1"/>
    </xf>
    <xf numFmtId="1" fontId="27" fillId="14" borderId="0" xfId="0" applyNumberFormat="1" applyFont="1" applyFill="1" applyAlignment="1">
      <alignment horizontal="center" vertical="center"/>
    </xf>
    <xf numFmtId="49" fontId="27" fillId="14" borderId="0" xfId="0" applyNumberFormat="1" applyFont="1" applyFill="1" applyAlignment="1">
      <alignment horizontal="center" vertical="center"/>
    </xf>
    <xf numFmtId="0" fontId="34" fillId="14" borderId="101" xfId="0" applyFont="1" applyFill="1" applyBorder="1" applyAlignment="1">
      <alignment vertical="center"/>
    </xf>
    <xf numFmtId="0" fontId="34" fillId="14" borderId="102" xfId="0" applyFont="1" applyFill="1" applyBorder="1" applyAlignment="1">
      <alignment vertical="center"/>
    </xf>
    <xf numFmtId="0" fontId="34" fillId="14" borderId="103" xfId="0" applyFont="1" applyFill="1" applyBorder="1" applyAlignment="1">
      <alignment vertical="center"/>
    </xf>
    <xf numFmtId="0" fontId="30" fillId="14" borderId="101" xfId="0" applyFont="1" applyFill="1" applyBorder="1" applyAlignment="1">
      <alignment vertical="center"/>
    </xf>
    <xf numFmtId="0" fontId="30" fillId="14" borderId="0" xfId="0" applyFont="1" applyFill="1" applyAlignment="1">
      <alignment vertical="center"/>
    </xf>
    <xf numFmtId="0" fontId="34" fillId="14" borderId="33" xfId="0" applyFont="1" applyFill="1" applyBorder="1" applyAlignment="1">
      <alignment vertical="center"/>
    </xf>
    <xf numFmtId="0" fontId="34" fillId="14" borderId="34" xfId="0" applyFont="1" applyFill="1" applyBorder="1" applyAlignment="1">
      <alignment vertical="center"/>
    </xf>
    <xf numFmtId="0" fontId="34" fillId="14" borderId="34" xfId="0" applyFont="1" applyFill="1" applyBorder="1" applyAlignment="1">
      <alignment horizontal="center" vertical="center"/>
    </xf>
    <xf numFmtId="0" fontId="30" fillId="14" borderId="34" xfId="0" applyFont="1" applyFill="1" applyBorder="1" applyAlignment="1">
      <alignment horizontal="center" vertical="center" wrapText="1"/>
    </xf>
    <xf numFmtId="0" fontId="30" fillId="14" borderId="35" xfId="0" applyFont="1" applyFill="1" applyBorder="1" applyAlignment="1">
      <alignment horizontal="center" vertical="center" wrapText="1"/>
    </xf>
    <xf numFmtId="0" fontId="30" fillId="14" borderId="0" xfId="0" applyFont="1" applyFill="1" applyAlignment="1" applyProtection="1">
      <alignment vertical="center"/>
    </xf>
    <xf numFmtId="0" fontId="18" fillId="13" borderId="36" xfId="80" applyFont="1" applyFill="1" applyBorder="1" applyAlignment="1" applyProtection="1">
      <alignment horizontal="center" vertical="center" wrapText="1"/>
    </xf>
    <xf numFmtId="0" fontId="18" fillId="13" borderId="37" xfId="80" applyFont="1" applyFill="1" applyBorder="1" applyAlignment="1" applyProtection="1">
      <alignment horizontal="center" vertical="center" wrapText="1"/>
    </xf>
    <xf numFmtId="0" fontId="18" fillId="13" borderId="35" xfId="80" applyFont="1" applyFill="1" applyBorder="1" applyAlignment="1" applyProtection="1">
      <alignment horizontal="center" vertical="center" wrapText="1"/>
    </xf>
    <xf numFmtId="0" fontId="30" fillId="14" borderId="0" xfId="0" applyFont="1" applyFill="1" applyAlignment="1" applyProtection="1">
      <alignment horizontal="center" vertical="center"/>
    </xf>
    <xf numFmtId="0" fontId="2" fillId="13" borderId="38" xfId="80" applyFont="1" applyFill="1" applyBorder="1" applyAlignment="1" applyProtection="1">
      <alignment horizontal="left" vertical="center"/>
    </xf>
    <xf numFmtId="168" fontId="2" fillId="13" borderId="39" xfId="59" applyNumberFormat="1" applyFont="1" applyFill="1" applyBorder="1" applyAlignment="1" applyProtection="1">
      <alignment vertical="center"/>
    </xf>
    <xf numFmtId="168" fontId="2" fillId="13" borderId="40" xfId="59" applyNumberFormat="1" applyFont="1" applyFill="1" applyBorder="1" applyAlignment="1" applyProtection="1">
      <alignment vertical="center"/>
    </xf>
    <xf numFmtId="168" fontId="2" fillId="13" borderId="41" xfId="59" applyNumberFormat="1" applyFont="1" applyFill="1" applyBorder="1" applyAlignment="1" applyProtection="1">
      <alignment vertical="center"/>
    </xf>
    <xf numFmtId="168" fontId="2" fillId="13" borderId="42" xfId="59" applyNumberFormat="1" applyFont="1" applyFill="1" applyBorder="1" applyAlignment="1" applyProtection="1">
      <alignment vertical="center"/>
    </xf>
    <xf numFmtId="0" fontId="2" fillId="13" borderId="43" xfId="80" applyFont="1" applyFill="1" applyBorder="1" applyAlignment="1" applyProtection="1">
      <alignment horizontal="left" vertical="center"/>
    </xf>
    <xf numFmtId="168" fontId="2" fillId="13" borderId="44" xfId="59" applyNumberFormat="1" applyFont="1" applyFill="1" applyBorder="1" applyAlignment="1" applyProtection="1">
      <alignment vertical="center"/>
      <protection locked="0"/>
    </xf>
    <xf numFmtId="168" fontId="2" fillId="13" borderId="44" xfId="59" applyNumberFormat="1" applyFont="1" applyFill="1" applyBorder="1" applyAlignment="1" applyProtection="1">
      <alignment vertical="center"/>
    </xf>
    <xf numFmtId="0" fontId="2" fillId="13" borderId="45" xfId="80" applyFont="1" applyFill="1" applyBorder="1" applyAlignment="1" applyProtection="1">
      <alignment horizontal="left" vertical="center"/>
    </xf>
    <xf numFmtId="168" fontId="2" fillId="13" borderId="46" xfId="59" applyNumberFormat="1" applyFont="1" applyFill="1" applyBorder="1" applyAlignment="1" applyProtection="1">
      <alignment vertical="center"/>
      <protection locked="0"/>
    </xf>
    <xf numFmtId="168" fontId="2" fillId="13" borderId="46" xfId="59" applyNumberFormat="1" applyFont="1" applyFill="1" applyBorder="1" applyAlignment="1" applyProtection="1">
      <alignment vertical="center"/>
    </xf>
    <xf numFmtId="0" fontId="18" fillId="16" borderId="47" xfId="0" applyFont="1" applyFill="1" applyBorder="1" applyAlignment="1">
      <alignment vertical="center" wrapText="1"/>
    </xf>
    <xf numFmtId="0" fontId="18" fillId="16" borderId="48" xfId="0" applyFont="1" applyFill="1" applyBorder="1" applyAlignment="1">
      <alignment vertical="center" wrapText="1"/>
    </xf>
    <xf numFmtId="0" fontId="18" fillId="16" borderId="49" xfId="0" applyFont="1" applyFill="1" applyBorder="1" applyAlignment="1">
      <alignment vertical="center" wrapText="1"/>
    </xf>
    <xf numFmtId="42" fontId="18" fillId="16" borderId="50" xfId="72" applyFont="1" applyFill="1" applyBorder="1" applyAlignment="1">
      <alignment vertical="center" wrapText="1"/>
    </xf>
    <xf numFmtId="0" fontId="35" fillId="17" borderId="47" xfId="0" applyFont="1" applyFill="1" applyBorder="1" applyAlignment="1">
      <alignment vertical="center" wrapText="1"/>
    </xf>
    <xf numFmtId="0" fontId="35" fillId="17" borderId="48" xfId="0" applyFont="1" applyFill="1" applyBorder="1" applyAlignment="1">
      <alignment vertical="center" wrapText="1"/>
    </xf>
    <xf numFmtId="0" fontId="35" fillId="17" borderId="49" xfId="0" applyFont="1" applyFill="1" applyBorder="1" applyAlignment="1">
      <alignment vertical="center" wrapText="1"/>
    </xf>
    <xf numFmtId="42" fontId="35" fillId="17" borderId="50" xfId="72" applyFont="1" applyFill="1" applyBorder="1" applyAlignment="1">
      <alignment vertical="center" wrapText="1"/>
    </xf>
    <xf numFmtId="0" fontId="18" fillId="13" borderId="0" xfId="80" applyFont="1" applyFill="1" applyBorder="1" applyAlignment="1" applyProtection="1">
      <alignment horizontal="right" vertical="center" wrapText="1"/>
    </xf>
    <xf numFmtId="168" fontId="18" fillId="13" borderId="0" xfId="59" applyNumberFormat="1" applyFont="1" applyFill="1" applyBorder="1" applyAlignment="1" applyProtection="1">
      <alignment horizontal="left" vertical="center"/>
    </xf>
    <xf numFmtId="0" fontId="18" fillId="13" borderId="0" xfId="80" applyFont="1" applyFill="1" applyBorder="1" applyAlignment="1" applyProtection="1">
      <alignment vertical="center" wrapText="1"/>
    </xf>
    <xf numFmtId="0" fontId="2" fillId="13" borderId="43" xfId="80" applyFont="1" applyFill="1" applyBorder="1" applyAlignment="1" applyProtection="1">
      <alignment vertical="center" wrapText="1"/>
    </xf>
    <xf numFmtId="168" fontId="2" fillId="13" borderId="51" xfId="59" applyNumberFormat="1" applyFont="1" applyFill="1" applyBorder="1" applyAlignment="1" applyProtection="1">
      <alignment vertical="center"/>
    </xf>
    <xf numFmtId="0" fontId="2" fillId="13" borderId="43" xfId="80" applyFont="1" applyFill="1" applyBorder="1" applyAlignment="1" applyProtection="1">
      <alignment vertical="center"/>
    </xf>
    <xf numFmtId="0" fontId="2" fillId="13" borderId="45" xfId="80" applyFont="1" applyFill="1" applyBorder="1" applyAlignment="1" applyProtection="1">
      <alignment vertical="center"/>
    </xf>
    <xf numFmtId="168" fontId="2" fillId="13" borderId="52" xfId="59" applyNumberFormat="1" applyFont="1" applyFill="1" applyBorder="1" applyAlignment="1" applyProtection="1">
      <alignment vertical="center"/>
    </xf>
    <xf numFmtId="0" fontId="18" fillId="13" borderId="0" xfId="80" applyFont="1" applyFill="1" applyBorder="1" applyAlignment="1" applyProtection="1">
      <alignment horizontal="center" vertical="center" wrapText="1"/>
    </xf>
    <xf numFmtId="0" fontId="2" fillId="13" borderId="0" xfId="80" applyFont="1" applyFill="1" applyAlignment="1" applyProtection="1">
      <alignment vertical="center"/>
    </xf>
    <xf numFmtId="0" fontId="29" fillId="14" borderId="0" xfId="0" applyFont="1" applyFill="1" applyAlignment="1" applyProtection="1">
      <alignment vertical="center"/>
    </xf>
    <xf numFmtId="0" fontId="36" fillId="13" borderId="53" xfId="80" applyFont="1" applyFill="1" applyBorder="1" applyAlignment="1" applyProtection="1">
      <alignment vertical="center" wrapText="1"/>
    </xf>
    <xf numFmtId="0" fontId="36" fillId="13" borderId="54" xfId="80" applyFont="1" applyFill="1" applyBorder="1" applyAlignment="1" applyProtection="1">
      <alignment vertical="center" wrapText="1"/>
    </xf>
    <xf numFmtId="0" fontId="36" fillId="13" borderId="55" xfId="80" applyFont="1" applyFill="1" applyBorder="1" applyAlignment="1" applyProtection="1">
      <alignment vertical="center" wrapText="1"/>
    </xf>
    <xf numFmtId="0" fontId="30" fillId="14" borderId="56" xfId="0" applyFont="1" applyFill="1" applyBorder="1" applyAlignment="1">
      <alignment horizontal="left" vertical="center"/>
    </xf>
    <xf numFmtId="0" fontId="30" fillId="14" borderId="57" xfId="0" applyFont="1" applyFill="1" applyBorder="1" applyAlignment="1">
      <alignment vertical="center"/>
    </xf>
    <xf numFmtId="169" fontId="2" fillId="13" borderId="44" xfId="61" applyNumberFormat="1" applyFont="1" applyFill="1" applyBorder="1" applyAlignment="1" applyProtection="1">
      <alignment vertical="center"/>
      <protection locked="0"/>
    </xf>
    <xf numFmtId="169" fontId="2" fillId="13" borderId="44" xfId="61" applyNumberFormat="1" applyFont="1" applyFill="1" applyBorder="1" applyAlignment="1" applyProtection="1">
      <alignment vertical="center"/>
    </xf>
    <xf numFmtId="0" fontId="2" fillId="13" borderId="44" xfId="80" applyFont="1" applyFill="1" applyBorder="1" applyAlignment="1" applyProtection="1">
      <alignment vertical="center"/>
    </xf>
    <xf numFmtId="169" fontId="2" fillId="13" borderId="44" xfId="80" applyNumberFormat="1" applyFont="1" applyFill="1" applyBorder="1" applyAlignment="1" applyProtection="1">
      <alignment vertical="center"/>
    </xf>
    <xf numFmtId="169" fontId="2" fillId="13" borderId="51" xfId="80" applyNumberFormat="1" applyFont="1" applyFill="1" applyBorder="1" applyAlignment="1" applyProtection="1">
      <alignment vertical="center"/>
    </xf>
    <xf numFmtId="0" fontId="18" fillId="16" borderId="58" xfId="0" applyFont="1" applyFill="1" applyBorder="1" applyAlignment="1">
      <alignment vertical="center" wrapText="1"/>
    </xf>
    <xf numFmtId="0" fontId="30" fillId="18" borderId="53" xfId="0" applyFont="1" applyFill="1" applyBorder="1" applyAlignment="1">
      <alignment horizontal="left" vertical="center"/>
    </xf>
    <xf numFmtId="0" fontId="30" fillId="18" borderId="54" xfId="0" applyFont="1" applyFill="1" applyBorder="1" applyAlignment="1">
      <alignment vertical="center"/>
    </xf>
    <xf numFmtId="169" fontId="2" fillId="13" borderId="39" xfId="61" applyNumberFormat="1" applyFont="1" applyFill="1" applyBorder="1" applyAlignment="1" applyProtection="1">
      <alignment vertical="center"/>
    </xf>
    <xf numFmtId="0" fontId="2" fillId="13" borderId="39" xfId="80" applyFont="1" applyFill="1" applyBorder="1" applyAlignment="1" applyProtection="1">
      <alignment vertical="center"/>
    </xf>
    <xf numFmtId="169" fontId="2" fillId="13" borderId="39" xfId="80" applyNumberFormat="1" applyFont="1" applyFill="1" applyBorder="1" applyAlignment="1" applyProtection="1">
      <alignment vertical="center"/>
    </xf>
    <xf numFmtId="169" fontId="2" fillId="13" borderId="59" xfId="80" applyNumberFormat="1" applyFont="1" applyFill="1" applyBorder="1" applyAlignment="1" applyProtection="1">
      <alignment vertical="center"/>
    </xf>
    <xf numFmtId="0" fontId="30" fillId="18" borderId="56" xfId="0" applyFont="1" applyFill="1" applyBorder="1" applyAlignment="1">
      <alignment horizontal="left" vertical="center"/>
    </xf>
    <xf numFmtId="0" fontId="30" fillId="18" borderId="57" xfId="0" applyFont="1" applyFill="1" applyBorder="1" applyAlignment="1">
      <alignment vertical="center"/>
    </xf>
    <xf numFmtId="0" fontId="30" fillId="14" borderId="0" xfId="0" applyFont="1" applyFill="1" applyBorder="1" applyAlignment="1" applyProtection="1">
      <alignment vertical="center"/>
    </xf>
    <xf numFmtId="0" fontId="35" fillId="17" borderId="58" xfId="0" applyFont="1" applyFill="1" applyBorder="1" applyAlignment="1">
      <alignment vertical="center" wrapText="1"/>
    </xf>
    <xf numFmtId="0" fontId="18" fillId="13" borderId="0" xfId="80" applyFont="1" applyFill="1" applyBorder="1" applyAlignment="1" applyProtection="1">
      <alignment horizontal="left" vertical="center"/>
    </xf>
    <xf numFmtId="169" fontId="18" fillId="13" borderId="0" xfId="61" applyNumberFormat="1" applyFont="1" applyFill="1" applyBorder="1" applyAlignment="1" applyProtection="1">
      <alignment vertical="center"/>
    </xf>
    <xf numFmtId="0" fontId="18" fillId="13" borderId="0" xfId="80" applyFont="1" applyFill="1" applyBorder="1" applyAlignment="1" applyProtection="1">
      <alignment horizontal="center" vertical="center"/>
    </xf>
    <xf numFmtId="0" fontId="2" fillId="13" borderId="0" xfId="80" applyFont="1" applyFill="1" applyBorder="1" applyAlignment="1" applyProtection="1">
      <alignment vertical="center"/>
    </xf>
    <xf numFmtId="0" fontId="18" fillId="13" borderId="60" xfId="80" applyFont="1" applyFill="1" applyBorder="1" applyAlignment="1" applyProtection="1">
      <alignment horizontal="center" vertical="center" wrapText="1"/>
    </xf>
    <xf numFmtId="0" fontId="30" fillId="0" borderId="53" xfId="0" applyFont="1" applyBorder="1" applyAlignment="1">
      <alignment horizontal="left" vertical="center"/>
    </xf>
    <xf numFmtId="0" fontId="30" fillId="14" borderId="54" xfId="0" applyFont="1" applyFill="1" applyBorder="1" applyAlignment="1">
      <alignment vertical="center"/>
    </xf>
    <xf numFmtId="0" fontId="30" fillId="0" borderId="61" xfId="0" applyFont="1" applyBorder="1" applyAlignment="1">
      <alignment vertical="center"/>
    </xf>
    <xf numFmtId="0" fontId="2" fillId="13" borderId="39" xfId="80" applyFont="1" applyFill="1" applyBorder="1" applyAlignment="1" applyProtection="1">
      <alignment horizontal="center" vertical="center"/>
    </xf>
    <xf numFmtId="169" fontId="30" fillId="0" borderId="59" xfId="26" applyNumberFormat="1" applyFont="1" applyBorder="1" applyAlignment="1" applyProtection="1">
      <alignment vertical="center"/>
    </xf>
    <xf numFmtId="0" fontId="30" fillId="18" borderId="39" xfId="0" applyFont="1" applyFill="1" applyBorder="1" applyAlignment="1">
      <alignment vertical="center" wrapText="1"/>
    </xf>
    <xf numFmtId="169" fontId="2" fillId="13" borderId="39" xfId="26" applyNumberFormat="1" applyFont="1" applyFill="1" applyBorder="1" applyAlignment="1" applyProtection="1">
      <alignment horizontal="center" vertical="center" wrapText="1"/>
    </xf>
    <xf numFmtId="169" fontId="2" fillId="13" borderId="59" xfId="26" applyNumberFormat="1" applyFont="1" applyFill="1" applyBorder="1" applyAlignment="1" applyProtection="1">
      <alignment vertical="center"/>
    </xf>
    <xf numFmtId="0" fontId="30" fillId="0" borderId="56" xfId="0" applyFont="1" applyBorder="1" applyAlignment="1">
      <alignment horizontal="left" vertical="center"/>
    </xf>
    <xf numFmtId="0" fontId="30" fillId="0" borderId="62" xfId="0" applyFont="1" applyBorder="1" applyAlignment="1">
      <alignment vertical="center"/>
    </xf>
    <xf numFmtId="0" fontId="2" fillId="13" borderId="44" xfId="80" applyFont="1" applyFill="1" applyBorder="1" applyAlignment="1" applyProtection="1">
      <alignment horizontal="center" vertical="center"/>
    </xf>
    <xf numFmtId="0" fontId="30" fillId="18" borderId="44" xfId="0" applyFont="1" applyFill="1" applyBorder="1" applyAlignment="1">
      <alignment vertical="center" wrapText="1"/>
    </xf>
    <xf numFmtId="169" fontId="2" fillId="13" borderId="44" xfId="26" applyNumberFormat="1" applyFont="1" applyFill="1" applyBorder="1" applyAlignment="1" applyProtection="1">
      <alignment horizontal="center" vertical="center" wrapText="1"/>
    </xf>
    <xf numFmtId="169" fontId="2" fillId="13" borderId="51" xfId="26" applyNumberFormat="1" applyFont="1" applyFill="1" applyBorder="1" applyAlignment="1" applyProtection="1">
      <alignment vertical="center"/>
    </xf>
    <xf numFmtId="0" fontId="30" fillId="18" borderId="57" xfId="0" applyFont="1" applyFill="1" applyBorder="1" applyAlignment="1">
      <alignment horizontal="left" vertical="center"/>
    </xf>
    <xf numFmtId="0" fontId="30" fillId="18" borderId="62" xfId="0" applyFont="1" applyFill="1" applyBorder="1" applyAlignment="1">
      <alignment horizontal="left" vertical="center"/>
    </xf>
    <xf numFmtId="0" fontId="30" fillId="18" borderId="44" xfId="0" applyFont="1" applyFill="1" applyBorder="1" applyAlignment="1">
      <alignment vertical="center"/>
    </xf>
    <xf numFmtId="0" fontId="30" fillId="0" borderId="63" xfId="0" applyFont="1" applyBorder="1" applyAlignment="1">
      <alignment horizontal="left" vertical="center"/>
    </xf>
    <xf numFmtId="0" fontId="30" fillId="14" borderId="64" xfId="0" applyFont="1" applyFill="1" applyBorder="1" applyAlignment="1">
      <alignment horizontal="left" vertical="center"/>
    </xf>
    <xf numFmtId="0" fontId="30" fillId="0" borderId="65" xfId="0" applyFont="1" applyBorder="1" applyAlignment="1">
      <alignment horizontal="left" vertical="center"/>
    </xf>
    <xf numFmtId="0" fontId="2" fillId="13" borderId="46" xfId="80" applyFont="1" applyFill="1" applyBorder="1" applyAlignment="1" applyProtection="1">
      <alignment horizontal="center" vertical="center"/>
    </xf>
    <xf numFmtId="0" fontId="2" fillId="13" borderId="46" xfId="80" applyFont="1" applyFill="1" applyBorder="1" applyAlignment="1" applyProtection="1">
      <alignment horizontal="center" vertical="center" wrapText="1"/>
    </xf>
    <xf numFmtId="169" fontId="30" fillId="0" borderId="52" xfId="26" applyNumberFormat="1" applyFont="1" applyBorder="1" applyAlignment="1" applyProtection="1">
      <alignment vertical="center"/>
    </xf>
    <xf numFmtId="0" fontId="30" fillId="18" borderId="66" xfId="0" applyFont="1" applyFill="1" applyBorder="1" applyAlignment="1">
      <alignment horizontal="left" vertical="center"/>
    </xf>
    <xf numFmtId="0" fontId="30" fillId="18" borderId="67" xfId="0" applyFont="1" applyFill="1" applyBorder="1" applyAlignment="1">
      <alignment horizontal="left" vertical="center"/>
    </xf>
    <xf numFmtId="0" fontId="30" fillId="18" borderId="46" xfId="0" applyFont="1" applyFill="1" applyBorder="1" applyAlignment="1">
      <alignment vertical="center"/>
    </xf>
    <xf numFmtId="169" fontId="2" fillId="13" borderId="46" xfId="26" applyNumberFormat="1" applyFont="1" applyFill="1" applyBorder="1" applyAlignment="1" applyProtection="1">
      <alignment horizontal="center" vertical="center" wrapText="1"/>
    </xf>
    <xf numFmtId="169" fontId="2" fillId="13" borderId="52" xfId="26" applyNumberFormat="1" applyFont="1" applyFill="1" applyBorder="1" applyAlignment="1" applyProtection="1">
      <alignment vertical="center"/>
    </xf>
    <xf numFmtId="0" fontId="30" fillId="18" borderId="62" xfId="0" applyFont="1" applyFill="1" applyBorder="1" applyAlignment="1">
      <alignment vertical="center"/>
    </xf>
    <xf numFmtId="0" fontId="30" fillId="14" borderId="57" xfId="0" applyFont="1" applyFill="1" applyBorder="1" applyAlignment="1">
      <alignment vertical="center" wrapText="1"/>
    </xf>
    <xf numFmtId="0" fontId="30" fillId="18" borderId="62" xfId="0" applyFont="1" applyFill="1" applyBorder="1" applyAlignment="1">
      <alignment vertical="center" wrapText="1"/>
    </xf>
    <xf numFmtId="0" fontId="30" fillId="0" borderId="68" xfId="0" applyFont="1" applyBorder="1" applyAlignment="1">
      <alignment vertical="center"/>
    </xf>
    <xf numFmtId="0" fontId="30" fillId="14" borderId="66" xfId="0" applyFont="1" applyFill="1" applyBorder="1" applyAlignment="1">
      <alignment vertical="center"/>
    </xf>
    <xf numFmtId="0" fontId="30" fillId="0" borderId="67" xfId="0" applyFont="1" applyBorder="1" applyAlignment="1">
      <alignment vertical="center"/>
    </xf>
    <xf numFmtId="168" fontId="33" fillId="15" borderId="47" xfId="0" applyNumberFormat="1" applyFont="1" applyFill="1" applyBorder="1" applyAlignment="1">
      <alignment vertical="center" wrapText="1"/>
    </xf>
    <xf numFmtId="168" fontId="33" fillId="15" borderId="69" xfId="0" applyNumberFormat="1" applyFont="1" applyFill="1" applyBorder="1" applyAlignment="1">
      <alignment vertical="center" wrapText="1"/>
    </xf>
    <xf numFmtId="42" fontId="33" fillId="15" borderId="69" xfId="72" applyFont="1" applyFill="1" applyBorder="1" applyAlignment="1">
      <alignment vertical="center" wrapText="1"/>
    </xf>
    <xf numFmtId="168" fontId="18" fillId="13" borderId="0" xfId="59" applyNumberFormat="1" applyFont="1" applyFill="1" applyBorder="1" applyAlignment="1" applyProtection="1">
      <alignment vertical="center"/>
    </xf>
    <xf numFmtId="0" fontId="20" fillId="13" borderId="31" xfId="89" applyNumberFormat="1" applyFont="1" applyFill="1" applyBorder="1" applyAlignment="1" applyProtection="1">
      <alignment vertical="center"/>
      <protection locked="0"/>
    </xf>
    <xf numFmtId="0" fontId="20" fillId="13" borderId="32" xfId="89" applyNumberFormat="1" applyFont="1" applyFill="1" applyBorder="1" applyAlignment="1" applyProtection="1">
      <alignment vertical="center"/>
      <protection locked="0"/>
    </xf>
    <xf numFmtId="0" fontId="30" fillId="0" borderId="31" xfId="0" applyFont="1" applyBorder="1" applyAlignment="1" applyProtection="1">
      <alignment vertical="center"/>
    </xf>
    <xf numFmtId="0" fontId="30" fillId="0" borderId="32" xfId="0" applyFont="1" applyBorder="1" applyAlignment="1" applyProtection="1">
      <alignment vertical="center"/>
    </xf>
    <xf numFmtId="0" fontId="20" fillId="13" borderId="23" xfId="89" applyNumberFormat="1" applyFont="1" applyFill="1" applyBorder="1" applyAlignment="1" applyProtection="1">
      <alignment vertical="center"/>
      <protection locked="0"/>
    </xf>
    <xf numFmtId="0" fontId="21" fillId="13" borderId="25" xfId="89" applyNumberFormat="1" applyFont="1" applyFill="1" applyBorder="1" applyAlignment="1" applyProtection="1">
      <alignment vertical="center"/>
      <protection locked="0"/>
    </xf>
    <xf numFmtId="0" fontId="20" fillId="13" borderId="0" xfId="89" applyNumberFormat="1" applyFont="1" applyFill="1" applyBorder="1" applyAlignment="1" applyProtection="1">
      <alignment vertical="center"/>
      <protection locked="0"/>
    </xf>
    <xf numFmtId="0" fontId="34" fillId="14" borderId="25" xfId="0" applyFont="1" applyFill="1" applyBorder="1" applyAlignment="1" applyProtection="1">
      <alignment vertical="center"/>
    </xf>
    <xf numFmtId="0" fontId="21" fillId="13" borderId="0" xfId="89" applyNumberFormat="1" applyFont="1" applyFill="1" applyBorder="1" applyAlignment="1" applyProtection="1">
      <alignment vertical="center"/>
      <protection locked="0"/>
    </xf>
    <xf numFmtId="0" fontId="34" fillId="14" borderId="0" xfId="0" applyFont="1" applyFill="1" applyBorder="1" applyAlignment="1" applyProtection="1">
      <alignment vertical="center"/>
    </xf>
    <xf numFmtId="0" fontId="21" fillId="14" borderId="24" xfId="89" applyNumberFormat="1" applyFont="1" applyFill="1" applyBorder="1" applyAlignment="1" applyProtection="1">
      <alignment vertical="center"/>
      <protection locked="0"/>
    </xf>
    <xf numFmtId="0" fontId="20" fillId="14" borderId="0" xfId="89" applyNumberFormat="1" applyFont="1" applyFill="1" applyBorder="1" applyAlignment="1" applyProtection="1">
      <alignment vertical="center"/>
      <protection locked="0"/>
    </xf>
    <xf numFmtId="0" fontId="20" fillId="14" borderId="24" xfId="89" applyNumberFormat="1" applyFont="1" applyFill="1" applyBorder="1" applyAlignment="1" applyProtection="1">
      <alignment vertical="center"/>
      <protection locked="0"/>
    </xf>
    <xf numFmtId="0" fontId="20" fillId="13" borderId="33" xfId="89" applyNumberFormat="1" applyFont="1" applyFill="1" applyBorder="1" applyAlignment="1" applyProtection="1">
      <alignment vertical="center"/>
      <protection locked="0"/>
    </xf>
    <xf numFmtId="0" fontId="20" fillId="13" borderId="34" xfId="89" applyNumberFormat="1" applyFont="1" applyFill="1" applyBorder="1" applyAlignment="1" applyProtection="1">
      <alignment vertical="center"/>
      <protection locked="0"/>
    </xf>
    <xf numFmtId="0" fontId="30" fillId="0" borderId="33" xfId="0" applyFont="1" applyBorder="1" applyAlignment="1" applyProtection="1">
      <alignment vertical="center"/>
    </xf>
    <xf numFmtId="0" fontId="30" fillId="14" borderId="34" xfId="0" applyFont="1" applyFill="1" applyBorder="1" applyAlignment="1" applyProtection="1">
      <alignment vertical="center"/>
    </xf>
    <xf numFmtId="0" fontId="20" fillId="14" borderId="35" xfId="89" applyNumberFormat="1" applyFont="1" applyFill="1" applyBorder="1" applyAlignment="1" applyProtection="1">
      <alignment vertical="center"/>
      <protection locked="0"/>
    </xf>
    <xf numFmtId="0" fontId="20" fillId="14" borderId="34" xfId="89" applyNumberFormat="1" applyFont="1" applyFill="1" applyBorder="1" applyAlignment="1" applyProtection="1">
      <alignment vertical="center"/>
      <protection locked="0"/>
    </xf>
    <xf numFmtId="0" fontId="30" fillId="14" borderId="0" xfId="0" applyFont="1" applyFill="1" applyAlignment="1" applyProtection="1">
      <alignment vertical="center"/>
      <protection locked="0"/>
    </xf>
    <xf numFmtId="0" fontId="27" fillId="0" borderId="104" xfId="0" applyFont="1" applyBorder="1" applyAlignment="1">
      <alignment vertical="center"/>
    </xf>
    <xf numFmtId="0" fontId="27" fillId="0" borderId="105" xfId="0" applyFont="1" applyBorder="1" applyAlignment="1">
      <alignment vertical="center"/>
    </xf>
    <xf numFmtId="168" fontId="35" fillId="15" borderId="47" xfId="0" applyNumberFormat="1" applyFont="1" applyFill="1" applyBorder="1" applyAlignment="1">
      <alignment horizontal="left" vertical="center" wrapText="1"/>
    </xf>
    <xf numFmtId="168" fontId="35" fillId="15" borderId="47" xfId="0" applyNumberFormat="1" applyFont="1" applyFill="1" applyBorder="1" applyAlignment="1">
      <alignment horizontal="center" vertical="center" wrapText="1"/>
    </xf>
    <xf numFmtId="0" fontId="30" fillId="14" borderId="0" xfId="0" applyFont="1" applyFill="1" applyBorder="1"/>
    <xf numFmtId="0" fontId="34" fillId="14" borderId="0" xfId="0" applyFont="1" applyFill="1" applyBorder="1"/>
    <xf numFmtId="0" fontId="34" fillId="14" borderId="0" xfId="0" applyFont="1" applyFill="1" applyBorder="1" applyAlignment="1"/>
    <xf numFmtId="0" fontId="30" fillId="14" borderId="0" xfId="0" applyFont="1" applyFill="1"/>
    <xf numFmtId="168" fontId="35" fillId="15" borderId="1" xfId="0" applyNumberFormat="1" applyFont="1" applyFill="1" applyBorder="1" applyAlignment="1">
      <alignment horizontal="center" vertical="center" wrapText="1"/>
    </xf>
    <xf numFmtId="0" fontId="2" fillId="14" borderId="0" xfId="0" applyFont="1" applyFill="1"/>
    <xf numFmtId="49" fontId="18" fillId="14" borderId="0" xfId="89" applyNumberFormat="1" applyFont="1" applyFill="1" applyBorder="1" applyAlignment="1" applyProtection="1">
      <protection hidden="1"/>
    </xf>
    <xf numFmtId="0" fontId="18" fillId="14" borderId="0" xfId="89" applyNumberFormat="1" applyFont="1" applyFill="1" applyBorder="1" applyAlignment="1" applyProtection="1">
      <alignment horizontal="center" vertical="center" wrapText="1"/>
      <protection hidden="1"/>
    </xf>
    <xf numFmtId="0" fontId="18" fillId="14" borderId="0" xfId="89" applyNumberFormat="1" applyFont="1" applyFill="1" applyBorder="1" applyAlignment="1" applyProtection="1">
      <alignment horizontal="center" wrapText="1"/>
      <protection hidden="1"/>
    </xf>
    <xf numFmtId="0" fontId="18" fillId="14" borderId="0" xfId="0" applyFont="1" applyFill="1" applyBorder="1" applyAlignment="1" applyProtection="1">
      <alignment horizontal="left"/>
      <protection hidden="1"/>
    </xf>
    <xf numFmtId="0" fontId="2" fillId="14" borderId="0" xfId="0" applyFont="1" applyFill="1" applyAlignment="1">
      <alignment horizontal="center"/>
    </xf>
    <xf numFmtId="0" fontId="18" fillId="19" borderId="1" xfId="0" applyFont="1" applyFill="1" applyBorder="1" applyAlignment="1">
      <alignment horizontal="center"/>
    </xf>
    <xf numFmtId="49" fontId="18" fillId="20" borderId="47" xfId="89" applyNumberFormat="1" applyFont="1" applyFill="1" applyBorder="1" applyAlignment="1" applyProtection="1">
      <alignment horizontal="left" vertical="center"/>
      <protection hidden="1"/>
    </xf>
    <xf numFmtId="169" fontId="2" fillId="20" borderId="69" xfId="26" applyNumberFormat="1" applyFont="1" applyFill="1" applyBorder="1" applyAlignment="1" applyProtection="1">
      <alignment horizontal="right" vertical="center" wrapText="1"/>
      <protection hidden="1"/>
    </xf>
    <xf numFmtId="169" fontId="2" fillId="20" borderId="69" xfId="89" applyNumberFormat="1" applyFont="1" applyFill="1" applyBorder="1" applyAlignment="1" applyProtection="1">
      <alignment vertical="center" wrapText="1"/>
      <protection hidden="1"/>
    </xf>
    <xf numFmtId="169" fontId="2" fillId="20" borderId="2" xfId="89" applyNumberFormat="1" applyFont="1" applyFill="1" applyBorder="1" applyAlignment="1" applyProtection="1">
      <alignment vertical="center" wrapText="1"/>
      <protection hidden="1"/>
    </xf>
    <xf numFmtId="0" fontId="2" fillId="20" borderId="2" xfId="0" applyFont="1" applyFill="1" applyBorder="1"/>
    <xf numFmtId="0" fontId="2" fillId="13" borderId="63" xfId="80" applyFont="1" applyFill="1" applyBorder="1" applyAlignment="1" applyProtection="1">
      <alignment horizontal="left" vertical="center" wrapText="1" indent="1"/>
    </xf>
    <xf numFmtId="0" fontId="2" fillId="13" borderId="64" xfId="80" applyFont="1" applyFill="1" applyBorder="1" applyAlignment="1" applyProtection="1">
      <alignment vertical="center" wrapText="1"/>
    </xf>
    <xf numFmtId="169" fontId="2" fillId="14" borderId="64" xfId="89" applyNumberFormat="1" applyFont="1" applyFill="1" applyBorder="1" applyAlignment="1" applyProtection="1">
      <alignment horizontal="right" vertical="center" wrapText="1"/>
      <protection hidden="1"/>
    </xf>
    <xf numFmtId="169" fontId="2" fillId="14" borderId="42" xfId="89" applyNumberFormat="1" applyFont="1" applyFill="1" applyBorder="1" applyAlignment="1" applyProtection="1">
      <alignment horizontal="right" vertical="center" wrapText="1"/>
      <protection hidden="1"/>
    </xf>
    <xf numFmtId="0" fontId="30" fillId="18" borderId="56" xfId="0" applyFont="1" applyFill="1" applyBorder="1" applyAlignment="1">
      <alignment horizontal="left" vertical="center" indent="1"/>
    </xf>
    <xf numFmtId="169" fontId="2" fillId="14" borderId="57" xfId="26" applyNumberFormat="1" applyFont="1" applyFill="1" applyBorder="1" applyAlignment="1" applyProtection="1">
      <alignment horizontal="left" vertical="center" wrapText="1" indent="1"/>
      <protection hidden="1"/>
    </xf>
    <xf numFmtId="169" fontId="2" fillId="14" borderId="57" xfId="89" applyNumberFormat="1" applyFont="1" applyFill="1" applyBorder="1" applyAlignment="1" applyProtection="1">
      <alignment horizontal="right" vertical="center" wrapText="1"/>
      <protection hidden="1"/>
    </xf>
    <xf numFmtId="169" fontId="2" fillId="14" borderId="70" xfId="89" applyNumberFormat="1" applyFont="1" applyFill="1" applyBorder="1" applyAlignment="1" applyProtection="1">
      <alignment horizontal="right" vertical="center" wrapText="1"/>
      <protection hidden="1"/>
    </xf>
    <xf numFmtId="0" fontId="2" fillId="14" borderId="70" xfId="0" applyFont="1" applyFill="1" applyBorder="1"/>
    <xf numFmtId="0" fontId="2" fillId="13" borderId="56" xfId="80" applyFont="1" applyFill="1" applyBorder="1" applyAlignment="1" applyProtection="1">
      <alignment horizontal="left" vertical="center" wrapText="1" indent="1"/>
    </xf>
    <xf numFmtId="0" fontId="2" fillId="13" borderId="57" xfId="80" applyFont="1" applyFill="1" applyBorder="1" applyAlignment="1" applyProtection="1">
      <alignment horizontal="left" vertical="center" wrapText="1" indent="1"/>
    </xf>
    <xf numFmtId="0" fontId="2" fillId="14" borderId="57" xfId="0" applyFont="1" applyFill="1" applyBorder="1"/>
    <xf numFmtId="0" fontId="30" fillId="0" borderId="56" xfId="0" applyFont="1" applyBorder="1" applyAlignment="1">
      <alignment horizontal="left" vertical="center" indent="1"/>
    </xf>
    <xf numFmtId="0" fontId="2" fillId="13" borderId="56" xfId="80" applyFont="1" applyFill="1" applyBorder="1" applyAlignment="1" applyProtection="1">
      <alignment horizontal="left" indent="1"/>
    </xf>
    <xf numFmtId="0" fontId="2" fillId="13" borderId="68" xfId="80" applyFont="1" applyFill="1" applyBorder="1" applyAlignment="1" applyProtection="1">
      <alignment horizontal="left" indent="1"/>
    </xf>
    <xf numFmtId="168" fontId="2" fillId="13" borderId="66" xfId="59" applyNumberFormat="1" applyFont="1" applyFill="1" applyBorder="1" applyAlignment="1" applyProtection="1">
      <alignment horizontal="left" indent="1"/>
    </xf>
    <xf numFmtId="0" fontId="2" fillId="14" borderId="66" xfId="0" applyFont="1" applyFill="1" applyBorder="1"/>
    <xf numFmtId="0" fontId="2" fillId="14" borderId="71" xfId="0" applyFont="1" applyFill="1" applyBorder="1"/>
    <xf numFmtId="0" fontId="35" fillId="17" borderId="47" xfId="0" applyFont="1" applyFill="1" applyBorder="1" applyAlignment="1">
      <alignment horizontal="left" vertical="center"/>
    </xf>
    <xf numFmtId="0" fontId="35" fillId="17" borderId="69" xfId="0" applyFont="1" applyFill="1" applyBorder="1" applyAlignment="1">
      <alignment horizontal="left" vertical="center"/>
    </xf>
    <xf numFmtId="0" fontId="35" fillId="17" borderId="2" xfId="0" applyFont="1" applyFill="1" applyBorder="1" applyAlignment="1">
      <alignment horizontal="left" vertical="center"/>
    </xf>
    <xf numFmtId="169" fontId="2" fillId="14" borderId="57" xfId="26" applyNumberFormat="1" applyFont="1" applyFill="1" applyBorder="1" applyAlignment="1" applyProtection="1">
      <alignment horizontal="right" vertical="center" wrapText="1"/>
      <protection hidden="1"/>
    </xf>
    <xf numFmtId="169" fontId="2" fillId="14" borderId="57" xfId="89" applyNumberFormat="1" applyFont="1" applyFill="1" applyBorder="1" applyAlignment="1" applyProtection="1">
      <alignment vertical="center" wrapText="1"/>
      <protection hidden="1"/>
    </xf>
    <xf numFmtId="169" fontId="2" fillId="14" borderId="70" xfId="89" applyNumberFormat="1" applyFont="1" applyFill="1" applyBorder="1" applyAlignment="1" applyProtection="1">
      <alignment vertical="center" wrapText="1"/>
      <protection hidden="1"/>
    </xf>
    <xf numFmtId="49" fontId="2" fillId="14" borderId="56" xfId="89" applyNumberFormat="1" applyFont="1" applyFill="1" applyBorder="1" applyAlignment="1" applyProtection="1">
      <alignment horizontal="left" vertical="center" indent="1"/>
      <protection hidden="1"/>
    </xf>
    <xf numFmtId="169" fontId="2" fillId="14" borderId="0" xfId="26" applyNumberFormat="1" applyFont="1" applyFill="1" applyBorder="1" applyAlignment="1" applyProtection="1">
      <alignment horizontal="right" vertical="center" wrapText="1"/>
      <protection hidden="1"/>
    </xf>
    <xf numFmtId="169" fontId="2" fillId="14" borderId="0" xfId="89" applyNumberFormat="1" applyFont="1" applyFill="1" applyBorder="1" applyAlignment="1" applyProtection="1">
      <alignment vertical="center" wrapText="1"/>
      <protection hidden="1"/>
    </xf>
    <xf numFmtId="169" fontId="2" fillId="14" borderId="24" xfId="89" applyNumberFormat="1" applyFont="1" applyFill="1" applyBorder="1" applyAlignment="1" applyProtection="1">
      <alignment vertical="center" wrapText="1"/>
      <protection hidden="1"/>
    </xf>
    <xf numFmtId="0" fontId="2" fillId="14" borderId="24" xfId="0" applyFont="1" applyFill="1" applyBorder="1"/>
    <xf numFmtId="49" fontId="18" fillId="14" borderId="25" xfId="89" applyNumberFormat="1" applyFont="1" applyFill="1" applyBorder="1" applyAlignment="1" applyProtection="1">
      <alignment horizontal="left" vertical="center"/>
      <protection hidden="1"/>
    </xf>
    <xf numFmtId="49" fontId="18" fillId="14" borderId="47" xfId="89" applyNumberFormat="1" applyFont="1" applyFill="1" applyBorder="1" applyAlignment="1" applyProtection="1">
      <alignment horizontal="left" vertical="center" wrapText="1"/>
      <protection hidden="1"/>
    </xf>
    <xf numFmtId="169" fontId="2" fillId="14" borderId="69" xfId="26" applyNumberFormat="1" applyFont="1" applyFill="1" applyBorder="1" applyAlignment="1" applyProtection="1">
      <alignment horizontal="right" vertical="center" wrapText="1"/>
      <protection hidden="1"/>
    </xf>
    <xf numFmtId="169" fontId="2" fillId="14" borderId="69" xfId="89" applyNumberFormat="1" applyFont="1" applyFill="1" applyBorder="1" applyAlignment="1" applyProtection="1">
      <alignment vertical="center" wrapText="1"/>
      <protection hidden="1"/>
    </xf>
    <xf numFmtId="169" fontId="2" fillId="14" borderId="2" xfId="89" applyNumberFormat="1" applyFont="1" applyFill="1" applyBorder="1" applyAlignment="1" applyProtection="1">
      <alignment vertical="center" wrapText="1"/>
      <protection hidden="1"/>
    </xf>
    <xf numFmtId="0" fontId="20" fillId="13" borderId="31" xfId="89" applyNumberFormat="1" applyFont="1" applyFill="1" applyBorder="1" applyAlignment="1" applyProtection="1">
      <protection locked="0"/>
    </xf>
    <xf numFmtId="0" fontId="30" fillId="0" borderId="31" xfId="0" applyFont="1" applyBorder="1" applyProtection="1"/>
    <xf numFmtId="0" fontId="20" fillId="13" borderId="23" xfId="89" applyNumberFormat="1" applyFont="1" applyFill="1" applyBorder="1" applyAlignment="1" applyProtection="1">
      <protection locked="0"/>
    </xf>
    <xf numFmtId="0" fontId="30" fillId="0" borderId="106" xfId="0" applyFont="1" applyBorder="1" applyProtection="1"/>
    <xf numFmtId="0" fontId="2" fillId="14" borderId="0" xfId="0" applyFont="1" applyFill="1" applyAlignment="1">
      <alignment horizontal="left"/>
    </xf>
    <xf numFmtId="0" fontId="21" fillId="13" borderId="25" xfId="89" applyNumberFormat="1" applyFont="1" applyFill="1" applyBorder="1" applyAlignment="1" applyProtection="1">
      <alignment horizontal="left"/>
      <protection locked="0"/>
    </xf>
    <xf numFmtId="0" fontId="22" fillId="13" borderId="25" xfId="89" applyNumberFormat="1" applyFont="1" applyFill="1" applyBorder="1" applyAlignment="1" applyProtection="1">
      <alignment horizontal="left"/>
      <protection locked="0"/>
    </xf>
    <xf numFmtId="0" fontId="22" fillId="13" borderId="24" xfId="89" applyNumberFormat="1" applyFont="1" applyFill="1" applyBorder="1" applyAlignment="1" applyProtection="1">
      <protection locked="0"/>
    </xf>
    <xf numFmtId="0" fontId="23" fillId="13" borderId="24" xfId="89" applyNumberFormat="1" applyFont="1" applyFill="1" applyBorder="1" applyAlignment="1" applyProtection="1">
      <protection locked="0"/>
    </xf>
    <xf numFmtId="0" fontId="22" fillId="13" borderId="25" xfId="89" applyNumberFormat="1" applyFont="1" applyFill="1" applyBorder="1" applyAlignment="1" applyProtection="1">
      <protection locked="0"/>
    </xf>
    <xf numFmtId="0" fontId="23" fillId="13" borderId="33" xfId="89" applyNumberFormat="1" applyFont="1" applyFill="1" applyBorder="1" applyAlignment="1" applyProtection="1">
      <protection locked="0"/>
    </xf>
    <xf numFmtId="0" fontId="37" fillId="0" borderId="33" xfId="0" applyFont="1" applyBorder="1" applyProtection="1"/>
    <xf numFmtId="0" fontId="23" fillId="13" borderId="35" xfId="89" applyNumberFormat="1" applyFont="1" applyFill="1" applyBorder="1" applyAlignment="1" applyProtection="1">
      <protection locked="0"/>
    </xf>
    <xf numFmtId="0" fontId="37" fillId="14" borderId="35" xfId="0" applyFont="1" applyFill="1" applyBorder="1" applyProtection="1"/>
    <xf numFmtId="49" fontId="38" fillId="15" borderId="2" xfId="0" applyNumberFormat="1" applyFont="1" applyFill="1" applyBorder="1" applyAlignment="1">
      <alignment horizontal="center" vertical="center" wrapText="1"/>
    </xf>
    <xf numFmtId="0" fontId="30" fillId="18" borderId="56" xfId="0" applyFont="1" applyFill="1" applyBorder="1" applyAlignment="1">
      <alignment horizontal="left" vertical="center" wrapText="1"/>
    </xf>
    <xf numFmtId="42" fontId="33" fillId="15" borderId="2" xfId="72" applyFont="1" applyFill="1" applyBorder="1" applyAlignment="1">
      <alignment vertical="center" wrapText="1"/>
    </xf>
    <xf numFmtId="0" fontId="31" fillId="14" borderId="0" xfId="0" applyFont="1" applyFill="1" applyBorder="1" applyAlignment="1">
      <alignment vertical="center"/>
    </xf>
    <xf numFmtId="0" fontId="31" fillId="14" borderId="94" xfId="0" applyFont="1" applyFill="1" applyBorder="1" applyAlignment="1">
      <alignment vertical="center"/>
    </xf>
    <xf numFmtId="0" fontId="31" fillId="14" borderId="0" xfId="0" applyFont="1" applyFill="1" applyBorder="1" applyAlignment="1">
      <alignment horizontal="left" vertical="center"/>
    </xf>
    <xf numFmtId="0" fontId="31" fillId="14" borderId="94" xfId="0" applyFont="1" applyFill="1" applyBorder="1" applyAlignment="1">
      <alignment horizontal="left" vertical="center"/>
    </xf>
    <xf numFmtId="0" fontId="31" fillId="14" borderId="92" xfId="0" applyFont="1" applyFill="1" applyBorder="1" applyAlignment="1">
      <alignment horizontal="left" vertical="center"/>
    </xf>
    <xf numFmtId="49" fontId="15" fillId="14" borderId="25" xfId="89" applyNumberFormat="1" applyFont="1" applyFill="1" applyBorder="1" applyAlignment="1" applyProtection="1">
      <alignment horizontal="left" vertical="center"/>
      <protection locked="0"/>
    </xf>
    <xf numFmtId="1" fontId="30" fillId="14" borderId="20" xfId="0" applyNumberFormat="1" applyFont="1" applyFill="1" applyBorder="1" applyAlignment="1">
      <alignment horizontal="center" vertical="center"/>
    </xf>
    <xf numFmtId="1" fontId="30" fillId="14" borderId="72" xfId="0" applyNumberFormat="1" applyFont="1" applyFill="1" applyBorder="1" applyAlignment="1">
      <alignment horizontal="center" vertical="center"/>
    </xf>
    <xf numFmtId="1" fontId="30" fillId="14" borderId="73" xfId="0" applyNumberFormat="1" applyFont="1" applyFill="1" applyBorder="1" applyAlignment="1">
      <alignment horizontal="center" vertical="center"/>
    </xf>
    <xf numFmtId="1" fontId="30" fillId="14" borderId="74" xfId="0" applyNumberFormat="1" applyFont="1" applyFill="1" applyBorder="1" applyAlignment="1">
      <alignment horizontal="center" vertical="center"/>
    </xf>
    <xf numFmtId="1" fontId="30" fillId="14" borderId="75" xfId="0" applyNumberFormat="1" applyFont="1" applyFill="1" applyBorder="1" applyAlignment="1">
      <alignment horizontal="center" vertical="center"/>
    </xf>
    <xf numFmtId="1" fontId="30" fillId="14" borderId="76" xfId="0" applyNumberFormat="1" applyFont="1" applyFill="1" applyBorder="1" applyAlignment="1">
      <alignment horizontal="center" vertical="center"/>
    </xf>
    <xf numFmtId="1" fontId="30" fillId="14" borderId="77" xfId="0" applyNumberFormat="1" applyFont="1" applyFill="1" applyBorder="1" applyAlignment="1">
      <alignment horizontal="center" vertical="center"/>
    </xf>
    <xf numFmtId="1" fontId="30" fillId="14" borderId="78" xfId="0" applyNumberFormat="1" applyFont="1" applyFill="1" applyBorder="1" applyAlignment="1">
      <alignment horizontal="center" vertical="center"/>
    </xf>
    <xf numFmtId="1" fontId="30" fillId="14" borderId="3" xfId="0" applyNumberFormat="1" applyFont="1" applyFill="1" applyBorder="1" applyAlignment="1">
      <alignment horizontal="center" vertical="center"/>
    </xf>
    <xf numFmtId="1" fontId="30" fillId="14" borderId="79" xfId="0" applyNumberFormat="1" applyFont="1" applyFill="1" applyBorder="1" applyAlignment="1">
      <alignment horizontal="center" vertical="center"/>
    </xf>
    <xf numFmtId="0" fontId="32" fillId="21" borderId="1" xfId="0" applyFont="1" applyFill="1" applyBorder="1" applyAlignment="1">
      <alignment horizontal="left" vertical="center"/>
    </xf>
    <xf numFmtId="168" fontId="35" fillId="17" borderId="48" xfId="0" applyNumberFormat="1" applyFont="1" applyFill="1" applyBorder="1" applyAlignment="1">
      <alignment vertical="center" wrapText="1"/>
    </xf>
    <xf numFmtId="168" fontId="35" fillId="17" borderId="50" xfId="0" applyNumberFormat="1" applyFont="1" applyFill="1" applyBorder="1" applyAlignment="1">
      <alignment vertical="center" wrapText="1"/>
    </xf>
    <xf numFmtId="2" fontId="27" fillId="0" borderId="99" xfId="0" applyNumberFormat="1" applyFont="1" applyBorder="1" applyAlignment="1">
      <alignment vertical="center" wrapText="1"/>
    </xf>
    <xf numFmtId="1" fontId="27" fillId="0" borderId="99" xfId="0" applyNumberFormat="1" applyFont="1" applyBorder="1" applyAlignment="1">
      <alignment horizontal="center" vertical="center"/>
    </xf>
    <xf numFmtId="49" fontId="27" fillId="0" borderId="99" xfId="0" applyNumberFormat="1" applyFont="1" applyBorder="1" applyAlignment="1">
      <alignment horizontal="center" vertical="center"/>
    </xf>
    <xf numFmtId="0" fontId="0" fillId="0" borderId="0" xfId="0" applyAlignment="1">
      <alignment vertical="top"/>
    </xf>
    <xf numFmtId="0" fontId="26" fillId="0" borderId="0" xfId="0" applyNumberFormat="1" applyFont="1" applyAlignment="1">
      <alignment vertical="top" wrapText="1"/>
    </xf>
    <xf numFmtId="0" fontId="0" fillId="0" borderId="0" xfId="0" applyNumberFormat="1" applyAlignment="1">
      <alignment vertical="top" wrapText="1"/>
    </xf>
    <xf numFmtId="0" fontId="0" fillId="0" borderId="112" xfId="0" applyNumberFormat="1" applyBorder="1" applyAlignment="1">
      <alignment vertical="top" wrapText="1"/>
    </xf>
    <xf numFmtId="0" fontId="0" fillId="0" borderId="113" xfId="0" applyNumberFormat="1" applyBorder="1" applyAlignment="1">
      <alignment vertical="top" wrapText="1"/>
    </xf>
    <xf numFmtId="0" fontId="26" fillId="0" borderId="0" xfId="0" applyNumberFormat="1" applyFont="1" applyAlignment="1">
      <alignment horizontal="center" vertical="top" wrapText="1"/>
    </xf>
    <xf numFmtId="0" fontId="0" fillId="0" borderId="0" xfId="0" applyNumberFormat="1" applyAlignment="1">
      <alignment horizontal="center" vertical="top" wrapText="1"/>
    </xf>
    <xf numFmtId="0" fontId="0" fillId="0" borderId="113" xfId="0" applyNumberFormat="1" applyBorder="1" applyAlignment="1">
      <alignment horizontal="center" vertical="top" wrapText="1"/>
    </xf>
    <xf numFmtId="0" fontId="0" fillId="0" borderId="114" xfId="0" applyNumberFormat="1" applyBorder="1" applyAlignment="1">
      <alignment horizontal="center" vertical="top" wrapText="1"/>
    </xf>
    <xf numFmtId="42" fontId="2" fillId="14" borderId="42" xfId="0" applyNumberFormat="1" applyFont="1" applyFill="1" applyBorder="1"/>
    <xf numFmtId="42" fontId="2" fillId="14" borderId="70" xfId="0" applyNumberFormat="1" applyFont="1" applyFill="1" applyBorder="1"/>
    <xf numFmtId="1" fontId="30" fillId="14" borderId="20" xfId="0" applyNumberFormat="1" applyFont="1" applyFill="1" applyBorder="1" applyAlignment="1">
      <alignment horizontal="center" vertical="center" wrapText="1"/>
    </xf>
    <xf numFmtId="42" fontId="2" fillId="14" borderId="71" xfId="0" applyNumberFormat="1" applyFont="1" applyFill="1" applyBorder="1"/>
    <xf numFmtId="42" fontId="35" fillId="17" borderId="1" xfId="0" applyNumberFormat="1" applyFont="1" applyFill="1" applyBorder="1" applyAlignment="1">
      <alignment horizontal="left" vertical="center"/>
    </xf>
    <xf numFmtId="42" fontId="2" fillId="14" borderId="0" xfId="0" applyNumberFormat="1" applyFont="1" applyFill="1"/>
    <xf numFmtId="9" fontId="2" fillId="14" borderId="70" xfId="107" applyFont="1" applyFill="1" applyBorder="1" applyAlignment="1" applyProtection="1">
      <alignment vertical="center" wrapText="1"/>
      <protection hidden="1"/>
    </xf>
    <xf numFmtId="42" fontId="2" fillId="14" borderId="70" xfId="72" applyFont="1" applyFill="1" applyBorder="1"/>
    <xf numFmtId="42" fontId="35" fillId="17" borderId="1" xfId="72" applyFont="1" applyFill="1" applyBorder="1" applyAlignment="1">
      <alignment horizontal="left" vertical="center"/>
    </xf>
    <xf numFmtId="0" fontId="24" fillId="13" borderId="0" xfId="89" applyNumberFormat="1" applyFont="1" applyFill="1" applyBorder="1" applyAlignment="1" applyProtection="1">
      <alignment vertical="center"/>
    </xf>
    <xf numFmtId="0" fontId="32" fillId="21" borderId="47" xfId="0" applyFont="1" applyFill="1" applyBorder="1" applyAlignment="1">
      <alignment vertical="center"/>
    </xf>
    <xf numFmtId="0" fontId="32" fillId="21" borderId="69" xfId="0" applyFont="1" applyFill="1" applyBorder="1" applyAlignment="1">
      <alignment vertical="center"/>
    </xf>
    <xf numFmtId="0" fontId="32" fillId="21" borderId="2" xfId="0" applyFont="1" applyFill="1" applyBorder="1" applyAlignment="1">
      <alignment vertical="center"/>
    </xf>
    <xf numFmtId="0" fontId="0" fillId="23" borderId="44" xfId="0" applyFill="1" applyBorder="1"/>
    <xf numFmtId="0" fontId="0" fillId="23" borderId="44" xfId="0" applyFill="1" applyBorder="1" applyAlignment="1">
      <alignment vertical="top"/>
    </xf>
    <xf numFmtId="0" fontId="0" fillId="0" borderId="44" xfId="0" applyBorder="1" applyAlignment="1">
      <alignment vertical="top"/>
    </xf>
    <xf numFmtId="0" fontId="46" fillId="14" borderId="43" xfId="85" applyFont="1" applyFill="1" applyBorder="1" applyAlignment="1">
      <alignment horizontal="center" vertical="center"/>
    </xf>
    <xf numFmtId="0" fontId="46" fillId="14" borderId="51" xfId="85" applyFont="1" applyFill="1" applyBorder="1" applyAlignment="1">
      <alignment horizontal="center" vertical="center"/>
    </xf>
    <xf numFmtId="0" fontId="46" fillId="14" borderId="80" xfId="85" applyFont="1" applyFill="1" applyBorder="1" applyAlignment="1">
      <alignment horizontal="center" vertical="center"/>
    </xf>
    <xf numFmtId="0" fontId="46" fillId="14" borderId="60" xfId="85" applyFont="1" applyFill="1" applyBorder="1" applyAlignment="1">
      <alignment horizontal="center" vertical="center"/>
    </xf>
    <xf numFmtId="0" fontId="0" fillId="23" borderId="44" xfId="0" applyFill="1" applyBorder="1" applyAlignment="1">
      <alignment horizontal="center" vertical="top"/>
    </xf>
    <xf numFmtId="0" fontId="35" fillId="21" borderId="69" xfId="0" applyFont="1" applyFill="1" applyBorder="1" applyAlignment="1">
      <alignment vertical="center"/>
    </xf>
    <xf numFmtId="0" fontId="30" fillId="0" borderId="99" xfId="0" applyFont="1" applyBorder="1" applyAlignment="1">
      <alignment horizontal="center" vertical="center"/>
    </xf>
    <xf numFmtId="0" fontId="30" fillId="14" borderId="32" xfId="0" applyFont="1" applyFill="1" applyBorder="1" applyAlignment="1">
      <alignment vertical="center"/>
    </xf>
    <xf numFmtId="0" fontId="13" fillId="14" borderId="0" xfId="89" applyNumberFormat="1" applyFont="1" applyFill="1" applyBorder="1" applyAlignment="1" applyProtection="1">
      <alignment vertical="center"/>
      <protection locked="0"/>
    </xf>
    <xf numFmtId="0" fontId="14" fillId="14" borderId="0" xfId="89" applyNumberFormat="1" applyFont="1" applyFill="1" applyBorder="1" applyAlignment="1" applyProtection="1">
      <alignment vertical="center"/>
      <protection locked="0"/>
    </xf>
    <xf numFmtId="0" fontId="30" fillId="14" borderId="34" xfId="0" applyFont="1" applyFill="1" applyBorder="1" applyAlignment="1">
      <alignment vertical="center"/>
    </xf>
    <xf numFmtId="0" fontId="30" fillId="14" borderId="0" xfId="0" applyFont="1" applyFill="1" applyAlignment="1">
      <alignment horizontal="center" vertical="center"/>
    </xf>
    <xf numFmtId="0" fontId="46" fillId="14" borderId="0" xfId="85" applyFont="1" applyFill="1" applyAlignment="1">
      <alignment horizontal="center" vertical="center"/>
    </xf>
    <xf numFmtId="49" fontId="46" fillId="14" borderId="0" xfId="85" applyNumberFormat="1" applyFont="1" applyFill="1" applyAlignment="1">
      <alignment horizontal="center" vertical="center"/>
    </xf>
    <xf numFmtId="0" fontId="46" fillId="14" borderId="0" xfId="85" applyFont="1" applyFill="1"/>
    <xf numFmtId="0" fontId="46" fillId="14" borderId="44" xfId="85" applyFont="1" applyFill="1" applyBorder="1" applyAlignment="1">
      <alignment horizontal="center" vertical="center"/>
    </xf>
    <xf numFmtId="49" fontId="46" fillId="14" borderId="44" xfId="85" applyNumberFormat="1" applyFont="1" applyFill="1" applyBorder="1" applyAlignment="1">
      <alignment horizontal="center" vertical="center"/>
    </xf>
    <xf numFmtId="0" fontId="0" fillId="24" borderId="0" xfId="0" applyFill="1"/>
    <xf numFmtId="49" fontId="0" fillId="24" borderId="0" xfId="0" applyNumberFormat="1" applyFill="1" applyAlignment="1">
      <alignment horizontal="right"/>
    </xf>
    <xf numFmtId="4" fontId="30" fillId="0" borderId="5" xfId="0" applyNumberFormat="1" applyFont="1" applyBorder="1" applyAlignment="1">
      <alignment vertical="center" wrapText="1"/>
    </xf>
    <xf numFmtId="0" fontId="27" fillId="14" borderId="32" xfId="0" applyFont="1" applyFill="1" applyBorder="1" applyAlignment="1">
      <alignment horizontal="center" vertical="center" wrapText="1"/>
    </xf>
    <xf numFmtId="0" fontId="15" fillId="14" borderId="0" xfId="89" applyNumberFormat="1" applyFont="1" applyFill="1" applyBorder="1" applyAlignment="1" applyProtection="1">
      <alignment horizontal="left" vertical="center" wrapText="1"/>
      <protection locked="0"/>
    </xf>
    <xf numFmtId="0" fontId="16" fillId="14" borderId="0" xfId="89" applyNumberFormat="1" applyFont="1" applyFill="1" applyBorder="1" applyAlignment="1" applyProtection="1">
      <alignment horizontal="left" vertical="center" wrapText="1"/>
      <protection locked="0"/>
    </xf>
    <xf numFmtId="0" fontId="27" fillId="14" borderId="34" xfId="0" applyFont="1" applyFill="1" applyBorder="1" applyAlignment="1">
      <alignment horizontal="center" vertical="center" wrapText="1"/>
    </xf>
    <xf numFmtId="4" fontId="30" fillId="0" borderId="13" xfId="0" applyNumberFormat="1" applyFont="1" applyBorder="1" applyAlignment="1">
      <alignment vertical="center" wrapText="1"/>
    </xf>
    <xf numFmtId="4" fontId="30" fillId="0" borderId="15" xfId="0" applyNumberFormat="1" applyFont="1" applyBorder="1" applyAlignment="1">
      <alignment vertical="center" wrapText="1"/>
    </xf>
    <xf numFmtId="4" fontId="30" fillId="0" borderId="22" xfId="0" applyNumberFormat="1" applyFont="1" applyBorder="1" applyAlignment="1">
      <alignment vertical="center" wrapText="1"/>
    </xf>
    <xf numFmtId="4" fontId="30" fillId="0" borderId="4" xfId="0" applyNumberFormat="1" applyFont="1" applyBorder="1" applyAlignment="1">
      <alignment vertical="center" wrapText="1"/>
    </xf>
    <xf numFmtId="42" fontId="32" fillId="21" borderId="69" xfId="72" applyFont="1" applyFill="1" applyBorder="1" applyAlignment="1">
      <alignment vertical="center"/>
    </xf>
    <xf numFmtId="42" fontId="31" fillId="0" borderId="30" xfId="72" applyFont="1" applyBorder="1" applyAlignment="1">
      <alignment vertical="center"/>
    </xf>
    <xf numFmtId="42" fontId="31" fillId="0" borderId="7" xfId="72" applyFont="1" applyBorder="1" applyAlignment="1">
      <alignment vertical="center"/>
    </xf>
    <xf numFmtId="42" fontId="31" fillId="0" borderId="14" xfId="72" applyFont="1" applyBorder="1" applyAlignment="1">
      <alignment vertical="center"/>
    </xf>
    <xf numFmtId="42" fontId="31" fillId="0" borderId="17" xfId="72" applyFont="1" applyBorder="1" applyAlignment="1">
      <alignment vertical="center"/>
    </xf>
    <xf numFmtId="42" fontId="31" fillId="0" borderId="26" xfId="72" applyFont="1" applyBorder="1" applyAlignment="1">
      <alignment vertical="center"/>
    </xf>
    <xf numFmtId="42" fontId="27" fillId="0" borderId="100" xfId="72" applyFont="1" applyBorder="1" applyAlignment="1">
      <alignment vertical="center"/>
    </xf>
    <xf numFmtId="42" fontId="27" fillId="14" borderId="32" xfId="72" applyFont="1" applyFill="1" applyBorder="1" applyAlignment="1">
      <alignment vertical="center"/>
    </xf>
    <xf numFmtId="42" fontId="15" fillId="14" borderId="0" xfId="72" applyFont="1" applyFill="1" applyBorder="1" applyAlignment="1" applyProtection="1">
      <alignment vertical="center"/>
      <protection locked="0"/>
    </xf>
    <xf numFmtId="42" fontId="16" fillId="14" borderId="0" xfId="72" applyFont="1" applyFill="1" applyBorder="1" applyAlignment="1" applyProtection="1">
      <alignment vertical="center"/>
      <protection locked="0"/>
    </xf>
    <xf numFmtId="42" fontId="27" fillId="14" borderId="34" xfId="72" applyFont="1" applyFill="1" applyBorder="1" applyAlignment="1">
      <alignment vertical="center"/>
    </xf>
    <xf numFmtId="42" fontId="27" fillId="14" borderId="0" xfId="72" applyFont="1" applyFill="1" applyAlignment="1">
      <alignment vertical="center"/>
    </xf>
    <xf numFmtId="0" fontId="0" fillId="0" borderId="0" xfId="0" applyNumberFormat="1" applyAlignment="1">
      <alignment vertical="top"/>
    </xf>
    <xf numFmtId="0" fontId="30" fillId="0" borderId="6" xfId="106" applyNumberFormat="1" applyFont="1" applyBorder="1" applyAlignment="1">
      <alignment horizontal="center" vertical="center"/>
    </xf>
    <xf numFmtId="1" fontId="30" fillId="14" borderId="20" xfId="0" applyNumberFormat="1" applyFont="1" applyFill="1" applyBorder="1" applyAlignment="1">
      <alignment horizontal="justify" vertical="center" wrapText="1"/>
    </xf>
    <xf numFmtId="1" fontId="30" fillId="14" borderId="72" xfId="0" applyNumberFormat="1" applyFont="1" applyFill="1" applyBorder="1" applyAlignment="1">
      <alignment horizontal="center" vertical="center" wrapText="1"/>
    </xf>
    <xf numFmtId="2" fontId="35" fillId="21" borderId="1" xfId="0" applyNumberFormat="1" applyFont="1" applyFill="1" applyBorder="1" applyAlignment="1">
      <alignment horizontal="left" vertical="center" wrapText="1"/>
    </xf>
    <xf numFmtId="0" fontId="30" fillId="0" borderId="29" xfId="106" applyNumberFormat="1" applyFont="1" applyBorder="1" applyAlignment="1">
      <alignment horizontal="center" vertical="center"/>
    </xf>
    <xf numFmtId="1" fontId="30" fillId="14" borderId="73" xfId="0" applyNumberFormat="1" applyFont="1" applyFill="1" applyBorder="1" applyAlignment="1">
      <alignment horizontal="justify" vertical="center" wrapText="1"/>
    </xf>
    <xf numFmtId="0" fontId="30" fillId="0" borderId="8" xfId="106" applyNumberFormat="1" applyFont="1" applyBorder="1" applyAlignment="1">
      <alignment horizontal="center" vertical="center"/>
    </xf>
    <xf numFmtId="0" fontId="30" fillId="0" borderId="16" xfId="106" applyNumberFormat="1" applyFont="1" applyBorder="1" applyAlignment="1">
      <alignment horizontal="center" vertical="center"/>
    </xf>
    <xf numFmtId="1" fontId="30" fillId="25" borderId="20" xfId="0" applyNumberFormat="1" applyFont="1" applyFill="1" applyBorder="1" applyAlignment="1">
      <alignment horizontal="justify" vertical="center" wrapText="1"/>
    </xf>
    <xf numFmtId="1" fontId="30" fillId="25" borderId="6" xfId="0" applyNumberFormat="1" applyFont="1" applyFill="1" applyBorder="1" applyAlignment="1">
      <alignment horizontal="center" vertical="center"/>
    </xf>
    <xf numFmtId="0" fontId="30" fillId="25" borderId="6" xfId="106" applyNumberFormat="1" applyFont="1" applyFill="1" applyBorder="1" applyAlignment="1">
      <alignment horizontal="center" vertical="center"/>
    </xf>
    <xf numFmtId="4" fontId="30" fillId="25" borderId="5" xfId="0" applyNumberFormat="1" applyFont="1" applyFill="1" applyBorder="1" applyAlignment="1">
      <alignment vertical="center" wrapText="1"/>
    </xf>
    <xf numFmtId="4" fontId="30" fillId="25" borderId="6" xfId="0" applyNumberFormat="1" applyFont="1" applyFill="1" applyBorder="1" applyAlignment="1">
      <alignment horizontal="center" vertical="center"/>
    </xf>
    <xf numFmtId="42" fontId="31" fillId="25" borderId="7" xfId="72" applyFont="1" applyFill="1" applyBorder="1" applyAlignment="1">
      <alignment vertical="center"/>
    </xf>
    <xf numFmtId="1" fontId="30" fillId="25" borderId="73" xfId="0" applyNumberFormat="1" applyFont="1" applyFill="1" applyBorder="1" applyAlignment="1">
      <alignment horizontal="justify" vertical="center" wrapText="1"/>
    </xf>
    <xf numFmtId="1" fontId="30" fillId="25" borderId="8" xfId="0" applyNumberFormat="1" applyFont="1" applyFill="1" applyBorder="1" applyAlignment="1">
      <alignment horizontal="center" vertical="center"/>
    </xf>
    <xf numFmtId="0" fontId="30" fillId="25" borderId="8" xfId="106" applyNumberFormat="1" applyFont="1" applyFill="1" applyBorder="1" applyAlignment="1">
      <alignment horizontal="center" vertical="center"/>
    </xf>
    <xf numFmtId="4" fontId="30" fillId="25" borderId="13" xfId="0" applyNumberFormat="1" applyFont="1" applyFill="1" applyBorder="1" applyAlignment="1">
      <alignment vertical="center" wrapText="1"/>
    </xf>
    <xf numFmtId="4" fontId="30" fillId="25" borderId="8" xfId="0" applyNumberFormat="1" applyFont="1" applyFill="1" applyBorder="1" applyAlignment="1">
      <alignment horizontal="center" vertical="center"/>
    </xf>
    <xf numFmtId="42" fontId="31" fillId="25" borderId="14" xfId="72" applyFont="1" applyFill="1" applyBorder="1" applyAlignment="1">
      <alignment vertical="center"/>
    </xf>
    <xf numFmtId="1" fontId="30" fillId="26" borderId="20" xfId="0" applyNumberFormat="1" applyFont="1" applyFill="1" applyBorder="1" applyAlignment="1">
      <alignment horizontal="justify" vertical="center" wrapText="1"/>
    </xf>
    <xf numFmtId="1" fontId="30" fillId="26" borderId="6" xfId="0" applyNumberFormat="1" applyFont="1" applyFill="1" applyBorder="1" applyAlignment="1">
      <alignment horizontal="center" vertical="center"/>
    </xf>
    <xf numFmtId="0" fontId="30" fillId="26" borderId="6" xfId="106" applyNumberFormat="1" applyFont="1" applyFill="1" applyBorder="1" applyAlignment="1">
      <alignment horizontal="center" vertical="center"/>
    </xf>
    <xf numFmtId="4" fontId="30" fillId="26" borderId="5" xfId="0" applyNumberFormat="1" applyFont="1" applyFill="1" applyBorder="1" applyAlignment="1">
      <alignment vertical="center" wrapText="1"/>
    </xf>
    <xf numFmtId="4" fontId="30" fillId="26" borderId="6" xfId="0" applyNumberFormat="1" applyFont="1" applyFill="1" applyBorder="1" applyAlignment="1">
      <alignment horizontal="center" vertical="center"/>
    </xf>
    <xf numFmtId="42" fontId="31" fillId="26" borderId="7" xfId="72" applyFont="1" applyFill="1" applyBorder="1" applyAlignment="1">
      <alignment vertical="center"/>
    </xf>
    <xf numFmtId="0" fontId="30" fillId="0" borderId="21" xfId="106" applyNumberFormat="1" applyFont="1" applyBorder="1" applyAlignment="1">
      <alignment horizontal="center" vertical="center"/>
    </xf>
    <xf numFmtId="1" fontId="30" fillId="14" borderId="75" xfId="0" applyNumberFormat="1" applyFont="1" applyFill="1" applyBorder="1" applyAlignment="1">
      <alignment horizontal="center" vertical="center" wrapText="1"/>
    </xf>
    <xf numFmtId="1" fontId="30" fillId="14" borderId="75" xfId="0" applyNumberFormat="1" applyFont="1" applyFill="1" applyBorder="1" applyAlignment="1">
      <alignment horizontal="justify" vertical="center" wrapText="1"/>
    </xf>
    <xf numFmtId="1" fontId="30" fillId="14" borderId="72" xfId="0" applyNumberFormat="1" applyFont="1" applyFill="1" applyBorder="1" applyAlignment="1">
      <alignment horizontal="justify" vertical="center" wrapText="1"/>
    </xf>
    <xf numFmtId="1" fontId="30" fillId="14" borderId="74" xfId="0" applyNumberFormat="1" applyFont="1" applyFill="1" applyBorder="1" applyAlignment="1">
      <alignment horizontal="justify" vertical="center" wrapText="1"/>
    </xf>
    <xf numFmtId="1" fontId="30" fillId="26" borderId="72" xfId="0" applyNumberFormat="1" applyFont="1" applyFill="1" applyBorder="1" applyAlignment="1">
      <alignment horizontal="justify" vertical="center" wrapText="1"/>
    </xf>
    <xf numFmtId="1" fontId="30" fillId="26" borderId="29" xfId="0" applyNumberFormat="1" applyFont="1" applyFill="1" applyBorder="1" applyAlignment="1">
      <alignment horizontal="center" vertical="center"/>
    </xf>
    <xf numFmtId="4" fontId="30" fillId="26" borderId="4" xfId="0" applyNumberFormat="1" applyFont="1" applyFill="1" applyBorder="1" applyAlignment="1">
      <alignment vertical="center" wrapText="1"/>
    </xf>
    <xf numFmtId="0" fontId="32" fillId="21" borderId="69" xfId="0" applyFont="1" applyFill="1" applyBorder="1" applyAlignment="1">
      <alignment vertical="center" wrapText="1"/>
    </xf>
    <xf numFmtId="0" fontId="27" fillId="0" borderId="99" xfId="0" applyFont="1" applyBorder="1" applyAlignment="1">
      <alignment vertical="center" wrapText="1"/>
    </xf>
    <xf numFmtId="0" fontId="27" fillId="14" borderId="0" xfId="0" applyFont="1" applyFill="1" applyAlignment="1">
      <alignment vertical="center" wrapText="1"/>
    </xf>
    <xf numFmtId="0" fontId="27" fillId="14" borderId="31" xfId="0" applyFont="1" applyFill="1" applyBorder="1" applyAlignment="1">
      <alignment vertical="center" wrapText="1"/>
    </xf>
    <xf numFmtId="0" fontId="15" fillId="14" borderId="25" xfId="89" applyNumberFormat="1" applyFont="1" applyFill="1" applyBorder="1" applyAlignment="1" applyProtection="1">
      <alignment vertical="center" wrapText="1"/>
      <protection locked="0"/>
    </xf>
    <xf numFmtId="0" fontId="16" fillId="14" borderId="25" xfId="89" applyNumberFormat="1" applyFont="1" applyFill="1" applyBorder="1" applyAlignment="1" applyProtection="1">
      <alignment vertical="center" wrapText="1"/>
      <protection locked="0"/>
    </xf>
    <xf numFmtId="0" fontId="27" fillId="14" borderId="33" xfId="0" applyFont="1" applyFill="1" applyBorder="1" applyAlignment="1">
      <alignment vertical="center" wrapText="1"/>
    </xf>
    <xf numFmtId="42" fontId="31" fillId="0" borderId="73" xfId="72" applyFont="1" applyBorder="1" applyAlignment="1">
      <alignment vertical="center"/>
    </xf>
    <xf numFmtId="42" fontId="31" fillId="0" borderId="20" xfId="72" applyFont="1" applyBorder="1" applyAlignment="1">
      <alignment vertical="center"/>
    </xf>
    <xf numFmtId="42" fontId="31" fillId="0" borderId="75" xfId="72" applyFont="1" applyBorder="1" applyAlignment="1">
      <alignment vertical="center"/>
    </xf>
    <xf numFmtId="1" fontId="30" fillId="27" borderId="72" xfId="0" applyNumberFormat="1" applyFont="1" applyFill="1" applyBorder="1" applyAlignment="1">
      <alignment horizontal="justify" vertical="center" wrapText="1"/>
    </xf>
    <xf numFmtId="1" fontId="30" fillId="27" borderId="6" xfId="0" applyNumberFormat="1" applyFont="1" applyFill="1" applyBorder="1" applyAlignment="1">
      <alignment horizontal="center" vertical="center"/>
    </xf>
    <xf numFmtId="4" fontId="30" fillId="27" borderId="5" xfId="0" applyNumberFormat="1" applyFont="1" applyFill="1" applyBorder="1" applyAlignment="1">
      <alignment vertical="center" wrapText="1"/>
    </xf>
    <xf numFmtId="0" fontId="30" fillId="27" borderId="6" xfId="106" applyNumberFormat="1" applyFont="1" applyFill="1" applyBorder="1" applyAlignment="1">
      <alignment horizontal="center" vertical="center"/>
    </xf>
    <xf numFmtId="4" fontId="30" fillId="27" borderId="6" xfId="0" applyNumberFormat="1" applyFont="1" applyFill="1" applyBorder="1" applyAlignment="1">
      <alignment horizontal="center" vertical="center"/>
    </xf>
    <xf numFmtId="42" fontId="31" fillId="27" borderId="7" xfId="72" applyFont="1" applyFill="1" applyBorder="1" applyAlignment="1">
      <alignment vertical="center"/>
    </xf>
    <xf numFmtId="1" fontId="30" fillId="14" borderId="76" xfId="0" applyNumberFormat="1" applyFont="1" applyFill="1" applyBorder="1" applyAlignment="1">
      <alignment horizontal="justify" vertical="center" wrapText="1"/>
    </xf>
    <xf numFmtId="4" fontId="30" fillId="0" borderId="35" xfId="0" applyNumberFormat="1" applyFont="1" applyBorder="1" applyAlignment="1">
      <alignment vertical="center" wrapText="1"/>
    </xf>
    <xf numFmtId="4" fontId="27" fillId="0" borderId="118" xfId="0" applyNumberFormat="1" applyFont="1" applyBorder="1" applyAlignment="1">
      <alignment vertical="center"/>
    </xf>
    <xf numFmtId="4" fontId="27" fillId="0" borderId="119" xfId="0" applyNumberFormat="1" applyFont="1" applyBorder="1" applyAlignment="1">
      <alignment vertical="center"/>
    </xf>
    <xf numFmtId="4" fontId="27" fillId="0" borderId="117" xfId="0" applyNumberFormat="1" applyFont="1" applyBorder="1" applyAlignment="1">
      <alignment vertical="center"/>
    </xf>
    <xf numFmtId="4" fontId="27" fillId="0" borderId="115" xfId="0" applyNumberFormat="1" applyFont="1" applyBorder="1" applyAlignment="1">
      <alignment vertical="center"/>
    </xf>
    <xf numFmtId="4" fontId="27" fillId="0" borderId="84" xfId="0" applyNumberFormat="1" applyFont="1" applyBorder="1" applyAlignment="1">
      <alignment vertical="center"/>
    </xf>
    <xf numFmtId="4" fontId="27" fillId="0" borderId="87" xfId="0" applyNumberFormat="1" applyFont="1" applyBorder="1" applyAlignment="1">
      <alignment vertical="center"/>
    </xf>
    <xf numFmtId="4" fontId="30" fillId="0" borderId="116" xfId="0" applyNumberFormat="1" applyFont="1" applyBorder="1" applyAlignment="1">
      <alignment horizontal="center" vertical="center"/>
    </xf>
    <xf numFmtId="4" fontId="30" fillId="0" borderId="14" xfId="0" applyNumberFormat="1" applyFont="1" applyBorder="1" applyAlignment="1">
      <alignment vertical="center"/>
    </xf>
    <xf numFmtId="4" fontId="30" fillId="0" borderId="7" xfId="0" applyNumberFormat="1" applyFont="1" applyBorder="1" applyAlignment="1">
      <alignment vertical="center"/>
    </xf>
    <xf numFmtId="1" fontId="30" fillId="14" borderId="72" xfId="0" applyNumberFormat="1" applyFont="1" applyFill="1" applyBorder="1" applyAlignment="1">
      <alignment horizontal="left" vertical="center"/>
    </xf>
    <xf numFmtId="0" fontId="49" fillId="0" borderId="1" xfId="0" applyFont="1" applyBorder="1" applyAlignment="1" applyProtection="1">
      <alignment horizontal="center" vertical="center" wrapText="1"/>
      <protection hidden="1"/>
    </xf>
    <xf numFmtId="0" fontId="50" fillId="0" borderId="1" xfId="89" applyFont="1" applyBorder="1" applyAlignment="1" applyProtection="1">
      <alignment horizontal="center" vertical="center" wrapText="1"/>
      <protection hidden="1"/>
    </xf>
    <xf numFmtId="0" fontId="50" fillId="0" borderId="47" xfId="89" applyFont="1" applyBorder="1" applyAlignment="1" applyProtection="1">
      <alignment horizontal="center" vertical="center" wrapText="1"/>
      <protection hidden="1"/>
    </xf>
    <xf numFmtId="0" fontId="29" fillId="0" borderId="44" xfId="0" applyFont="1" applyBorder="1"/>
    <xf numFmtId="49" fontId="29" fillId="0" borderId="44" xfId="0" applyNumberFormat="1" applyFont="1" applyBorder="1" applyAlignment="1">
      <alignment horizontal="right"/>
    </xf>
    <xf numFmtId="0" fontId="29" fillId="0" borderId="44" xfId="0" applyFont="1" applyBorder="1" applyAlignment="1">
      <alignment horizontal="right"/>
    </xf>
    <xf numFmtId="41" fontId="0" fillId="0" borderId="0" xfId="106" applyFont="1"/>
    <xf numFmtId="41" fontId="51" fillId="0" borderId="58" xfId="106" applyFont="1" applyBorder="1" applyAlignment="1" applyProtection="1">
      <alignment horizontal="center" vertical="center" wrapText="1"/>
      <protection hidden="1"/>
    </xf>
    <xf numFmtId="0" fontId="0" fillId="0" borderId="44" xfId="0" applyBorder="1"/>
    <xf numFmtId="41" fontId="0" fillId="0" borderId="44" xfId="106" applyFont="1" applyBorder="1"/>
    <xf numFmtId="41" fontId="0" fillId="0" borderId="44" xfId="0" applyNumberFormat="1" applyBorder="1"/>
    <xf numFmtId="169" fontId="0" fillId="0" borderId="0" xfId="26" applyNumberFormat="1" applyFont="1"/>
    <xf numFmtId="169" fontId="0" fillId="0" borderId="44" xfId="26" applyNumberFormat="1" applyFont="1" applyBorder="1" applyAlignment="1">
      <alignment horizontal="center" vertical="center" wrapText="1"/>
    </xf>
    <xf numFmtId="169" fontId="0" fillId="0" borderId="0" xfId="26" applyNumberFormat="1" applyFont="1" applyAlignment="1">
      <alignment horizontal="center" vertical="center" wrapText="1"/>
    </xf>
    <xf numFmtId="9" fontId="0" fillId="0" borderId="0" xfId="0" applyNumberFormat="1"/>
    <xf numFmtId="169" fontId="0" fillId="0" borderId="44" xfId="26" applyNumberFormat="1" applyFont="1" applyBorder="1"/>
    <xf numFmtId="169" fontId="26" fillId="0" borderId="0" xfId="26" applyNumberFormat="1" applyFont="1"/>
    <xf numFmtId="168" fontId="18" fillId="16" borderId="48" xfId="0" applyNumberFormat="1" applyFont="1" applyFill="1" applyBorder="1" applyAlignment="1">
      <alignment vertical="center" wrapText="1"/>
    </xf>
    <xf numFmtId="10" fontId="18" fillId="16" borderId="48" xfId="107" applyNumberFormat="1" applyFont="1" applyFill="1" applyBorder="1" applyAlignment="1">
      <alignment vertical="center" wrapText="1"/>
    </xf>
    <xf numFmtId="168" fontId="2" fillId="13" borderId="37" xfId="59" applyNumberFormat="1" applyFont="1" applyFill="1" applyBorder="1" applyAlignment="1" applyProtection="1">
      <alignment vertical="center"/>
    </xf>
    <xf numFmtId="9" fontId="34" fillId="28" borderId="34" xfId="0" applyNumberFormat="1" applyFont="1" applyFill="1" applyBorder="1" applyAlignment="1">
      <alignment vertical="center"/>
    </xf>
    <xf numFmtId="42" fontId="0" fillId="0" borderId="44" xfId="0" applyNumberFormat="1" applyBorder="1"/>
    <xf numFmtId="42" fontId="0" fillId="0" borderId="44" xfId="72" applyFont="1" applyBorder="1"/>
    <xf numFmtId="42" fontId="2" fillId="13" borderId="44" xfId="72" applyFont="1" applyFill="1" applyBorder="1" applyAlignment="1" applyProtection="1">
      <alignment vertical="center"/>
    </xf>
    <xf numFmtId="42" fontId="2" fillId="13" borderId="46" xfId="72" applyFont="1" applyFill="1" applyBorder="1" applyAlignment="1" applyProtection="1">
      <alignment vertical="center"/>
    </xf>
    <xf numFmtId="42" fontId="30" fillId="0" borderId="39" xfId="72" applyFont="1" applyBorder="1" applyAlignment="1" applyProtection="1">
      <alignment vertical="center"/>
    </xf>
    <xf numFmtId="42" fontId="30" fillId="0" borderId="44" xfId="72" applyFont="1" applyBorder="1" applyAlignment="1" applyProtection="1">
      <alignment vertical="center"/>
    </xf>
    <xf numFmtId="42" fontId="2" fillId="13" borderId="44" xfId="72" applyFont="1" applyFill="1" applyBorder="1" applyAlignment="1" applyProtection="1">
      <alignment horizontal="center" vertical="center" wrapText="1"/>
    </xf>
    <xf numFmtId="42" fontId="2" fillId="13" borderId="46" xfId="72" applyFont="1" applyFill="1" applyBorder="1" applyAlignment="1" applyProtection="1">
      <alignment horizontal="center" vertical="center" wrapText="1"/>
    </xf>
    <xf numFmtId="1" fontId="30" fillId="29" borderId="6" xfId="0" applyNumberFormat="1" applyFont="1" applyFill="1" applyBorder="1" applyAlignment="1">
      <alignment horizontal="center" vertical="center"/>
    </xf>
    <xf numFmtId="4" fontId="30" fillId="29" borderId="5" xfId="0" applyNumberFormat="1" applyFont="1" applyFill="1" applyBorder="1" applyAlignment="1">
      <alignment vertical="center" wrapText="1"/>
    </xf>
    <xf numFmtId="0" fontId="30" fillId="29" borderId="6" xfId="106" applyNumberFormat="1" applyFont="1" applyFill="1" applyBorder="1" applyAlignment="1">
      <alignment horizontal="center" vertical="center"/>
    </xf>
    <xf numFmtId="4" fontId="30" fillId="29" borderId="6" xfId="0" applyNumberFormat="1" applyFont="1" applyFill="1" applyBorder="1" applyAlignment="1">
      <alignment horizontal="center" vertical="center"/>
    </xf>
    <xf numFmtId="42" fontId="31" fillId="29" borderId="7" xfId="72" applyFont="1" applyFill="1" applyBorder="1" applyAlignment="1">
      <alignment vertical="center"/>
    </xf>
    <xf numFmtId="164" fontId="52" fillId="14" borderId="2" xfId="0" applyNumberFormat="1" applyFont="1" applyFill="1" applyBorder="1"/>
    <xf numFmtId="1" fontId="30" fillId="14" borderId="91" xfId="0" applyNumberFormat="1" applyFont="1" applyFill="1" applyBorder="1" applyAlignment="1">
      <alignment horizontal="justify" vertical="center" wrapText="1"/>
    </xf>
    <xf numFmtId="1" fontId="30" fillId="25" borderId="3" xfId="0" applyNumberFormat="1" applyFont="1" applyFill="1" applyBorder="1" applyAlignment="1">
      <alignment horizontal="justify" vertical="center" wrapText="1"/>
    </xf>
    <xf numFmtId="168" fontId="53" fillId="15" borderId="1" xfId="0" applyNumberFormat="1" applyFont="1" applyFill="1" applyBorder="1" applyAlignment="1">
      <alignment horizontal="center" vertical="center" wrapText="1"/>
    </xf>
    <xf numFmtId="1" fontId="30" fillId="30" borderId="6" xfId="0" applyNumberFormat="1" applyFont="1" applyFill="1" applyBorder="1" applyAlignment="1">
      <alignment horizontal="center" vertical="center"/>
    </xf>
    <xf numFmtId="4" fontId="30" fillId="30" borderId="5" xfId="0" applyNumberFormat="1" applyFont="1" applyFill="1" applyBorder="1" applyAlignment="1">
      <alignment vertical="center" wrapText="1"/>
    </xf>
    <xf numFmtId="0" fontId="30" fillId="30" borderId="6" xfId="106" applyNumberFormat="1" applyFont="1" applyFill="1" applyBorder="1" applyAlignment="1">
      <alignment horizontal="center" vertical="center"/>
    </xf>
    <xf numFmtId="4" fontId="30" fillId="30" borderId="6" xfId="0" applyNumberFormat="1" applyFont="1" applyFill="1" applyBorder="1" applyAlignment="1">
      <alignment horizontal="center" vertical="center"/>
    </xf>
    <xf numFmtId="42" fontId="31" fillId="30" borderId="7" xfId="72" applyFont="1" applyFill="1" applyBorder="1" applyAlignment="1">
      <alignment vertical="center"/>
    </xf>
    <xf numFmtId="1" fontId="30" fillId="0" borderId="72" xfId="0" applyNumberFormat="1" applyFont="1" applyFill="1" applyBorder="1" applyAlignment="1">
      <alignment horizontal="justify" vertical="center" wrapText="1"/>
    </xf>
    <xf numFmtId="1" fontId="30" fillId="0" borderId="6" xfId="0" applyNumberFormat="1" applyFont="1" applyFill="1" applyBorder="1" applyAlignment="1">
      <alignment horizontal="center" vertical="center"/>
    </xf>
    <xf numFmtId="4" fontId="30" fillId="0" borderId="5" xfId="0" applyNumberFormat="1" applyFont="1" applyFill="1" applyBorder="1" applyAlignment="1">
      <alignment vertical="center" wrapText="1"/>
    </xf>
    <xf numFmtId="0" fontId="30" fillId="0" borderId="6" xfId="106" applyNumberFormat="1" applyFont="1" applyFill="1" applyBorder="1" applyAlignment="1">
      <alignment horizontal="center" vertical="center"/>
    </xf>
    <xf numFmtId="4" fontId="30" fillId="0" borderId="6" xfId="0" applyNumberFormat="1" applyFont="1" applyFill="1" applyBorder="1" applyAlignment="1">
      <alignment horizontal="center" vertical="center"/>
    </xf>
    <xf numFmtId="42" fontId="31" fillId="0" borderId="7" xfId="72" applyFont="1" applyFill="1" applyBorder="1" applyAlignment="1">
      <alignment vertical="center"/>
    </xf>
    <xf numFmtId="9" fontId="27" fillId="14" borderId="92" xfId="0" applyNumberFormat="1" applyFont="1" applyFill="1" applyBorder="1" applyAlignment="1">
      <alignment vertical="center"/>
    </xf>
    <xf numFmtId="41" fontId="2" fillId="14" borderId="0" xfId="106" applyFont="1" applyFill="1"/>
    <xf numFmtId="0" fontId="30" fillId="18" borderId="34" xfId="0" applyFont="1" applyFill="1" applyBorder="1" applyAlignment="1">
      <alignment vertical="center"/>
    </xf>
    <xf numFmtId="1" fontId="30" fillId="31" borderId="76" xfId="0" applyNumberFormat="1" applyFont="1" applyFill="1" applyBorder="1" applyAlignment="1">
      <alignment horizontal="center" vertical="center"/>
    </xf>
    <xf numFmtId="0" fontId="54" fillId="21" borderId="69" xfId="0" applyFont="1" applyFill="1" applyBorder="1" applyAlignment="1">
      <alignment vertical="center" wrapText="1"/>
    </xf>
    <xf numFmtId="168" fontId="54" fillId="15" borderId="1" xfId="0" applyNumberFormat="1" applyFont="1" applyFill="1" applyBorder="1" applyAlignment="1">
      <alignment horizontal="center" vertical="center" wrapText="1"/>
    </xf>
    <xf numFmtId="4" fontId="47" fillId="25" borderId="13" xfId="0" applyNumberFormat="1" applyFont="1" applyFill="1" applyBorder="1" applyAlignment="1">
      <alignment vertical="center" wrapText="1"/>
    </xf>
    <xf numFmtId="4" fontId="47" fillId="25" borderId="5" xfId="0" applyNumberFormat="1" applyFont="1" applyFill="1" applyBorder="1" applyAlignment="1">
      <alignment vertical="center" wrapText="1"/>
    </xf>
    <xf numFmtId="4" fontId="47" fillId="0" borderId="5" xfId="0" applyNumberFormat="1" applyFont="1" applyBorder="1" applyAlignment="1">
      <alignment vertical="center" wrapText="1"/>
    </xf>
    <xf numFmtId="4" fontId="47" fillId="0" borderId="15" xfId="0" applyNumberFormat="1" applyFont="1" applyBorder="1" applyAlignment="1">
      <alignment vertical="center" wrapText="1"/>
    </xf>
    <xf numFmtId="4" fontId="47" fillId="0" borderId="13" xfId="0" applyNumberFormat="1" applyFont="1" applyBorder="1" applyAlignment="1">
      <alignment vertical="center" wrapText="1"/>
    </xf>
    <xf numFmtId="4" fontId="47" fillId="26" borderId="5" xfId="0" applyNumberFormat="1" applyFont="1" applyFill="1" applyBorder="1" applyAlignment="1">
      <alignment vertical="center" wrapText="1"/>
    </xf>
    <xf numFmtId="4" fontId="47" fillId="0" borderId="22" xfId="0" applyNumberFormat="1" applyFont="1" applyBorder="1" applyAlignment="1">
      <alignment vertical="center" wrapText="1"/>
    </xf>
    <xf numFmtId="4" fontId="47" fillId="30" borderId="5" xfId="0" applyNumberFormat="1" applyFont="1" applyFill="1" applyBorder="1" applyAlignment="1">
      <alignment vertical="center" wrapText="1"/>
    </xf>
    <xf numFmtId="4" fontId="47" fillId="29" borderId="5" xfId="0" applyNumberFormat="1" applyFont="1" applyFill="1" applyBorder="1" applyAlignment="1">
      <alignment vertical="center" wrapText="1"/>
    </xf>
    <xf numFmtId="4" fontId="47" fillId="27" borderId="5" xfId="0" applyNumberFormat="1" applyFont="1" applyFill="1" applyBorder="1" applyAlignment="1">
      <alignment vertical="center" wrapText="1"/>
    </xf>
    <xf numFmtId="4" fontId="47" fillId="0" borderId="5" xfId="0" applyNumberFormat="1" applyFont="1" applyFill="1" applyBorder="1" applyAlignment="1">
      <alignment vertical="center" wrapText="1"/>
    </xf>
    <xf numFmtId="4" fontId="47" fillId="0" borderId="4" xfId="0" applyNumberFormat="1" applyFont="1" applyBorder="1" applyAlignment="1">
      <alignment vertical="center" wrapText="1"/>
    </xf>
    <xf numFmtId="0" fontId="47" fillId="0" borderId="99" xfId="0" applyFont="1" applyBorder="1" applyAlignment="1">
      <alignment vertical="center" wrapText="1"/>
    </xf>
    <xf numFmtId="0" fontId="47" fillId="14" borderId="32" xfId="0" applyFont="1" applyFill="1" applyBorder="1" applyAlignment="1">
      <alignment vertical="center" wrapText="1"/>
    </xf>
    <xf numFmtId="0" fontId="55" fillId="14" borderId="0" xfId="89" applyNumberFormat="1" applyFont="1" applyFill="1" applyBorder="1" applyAlignment="1" applyProtection="1">
      <alignment vertical="center" wrapText="1"/>
      <protection locked="0"/>
    </xf>
    <xf numFmtId="0" fontId="46" fillId="14" borderId="0" xfId="89" applyNumberFormat="1" applyFont="1" applyFill="1" applyBorder="1" applyAlignment="1" applyProtection="1">
      <alignment vertical="center" wrapText="1"/>
      <protection locked="0"/>
    </xf>
    <xf numFmtId="0" fontId="47" fillId="14" borderId="34" xfId="0" applyFont="1" applyFill="1" applyBorder="1" applyAlignment="1">
      <alignment vertical="center" wrapText="1"/>
    </xf>
    <xf numFmtId="0" fontId="47" fillId="14" borderId="0" xfId="0" applyFont="1" applyFill="1" applyAlignment="1">
      <alignment vertical="center" wrapText="1"/>
    </xf>
    <xf numFmtId="4" fontId="30" fillId="0" borderId="7" xfId="0" applyNumberFormat="1" applyFont="1" applyBorder="1" applyAlignment="1">
      <alignment vertical="center" wrapText="1"/>
    </xf>
    <xf numFmtId="0" fontId="53" fillId="21" borderId="69" xfId="0" applyFont="1" applyFill="1" applyBorder="1" applyAlignment="1">
      <alignment vertical="center" wrapText="1"/>
    </xf>
    <xf numFmtId="4" fontId="37" fillId="25" borderId="13" xfId="0" applyNumberFormat="1" applyFont="1" applyFill="1" applyBorder="1" applyAlignment="1">
      <alignment vertical="center" wrapText="1"/>
    </xf>
    <xf numFmtId="4" fontId="37" fillId="25" borderId="5" xfId="0" applyNumberFormat="1" applyFont="1" applyFill="1" applyBorder="1" applyAlignment="1">
      <alignment vertical="center" wrapText="1"/>
    </xf>
    <xf numFmtId="4" fontId="37" fillId="0" borderId="5" xfId="0" applyNumberFormat="1" applyFont="1" applyBorder="1" applyAlignment="1">
      <alignment vertical="center" wrapText="1"/>
    </xf>
    <xf numFmtId="4" fontId="37" fillId="0" borderId="15" xfId="0" applyNumberFormat="1" applyFont="1" applyBorder="1" applyAlignment="1">
      <alignment vertical="center" wrapText="1"/>
    </xf>
    <xf numFmtId="4" fontId="37" fillId="0" borderId="13" xfId="0" applyNumberFormat="1" applyFont="1" applyBorder="1" applyAlignment="1">
      <alignment vertical="center" wrapText="1"/>
    </xf>
    <xf numFmtId="4" fontId="37" fillId="26" borderId="5" xfId="0" applyNumberFormat="1" applyFont="1" applyFill="1" applyBorder="1" applyAlignment="1">
      <alignment vertical="center" wrapText="1"/>
    </xf>
    <xf numFmtId="4" fontId="37" fillId="0" borderId="22" xfId="0" applyNumberFormat="1" applyFont="1" applyBorder="1" applyAlignment="1">
      <alignment vertical="center" wrapText="1"/>
    </xf>
    <xf numFmtId="4" fontId="37" fillId="30" borderId="5" xfId="0" applyNumberFormat="1" applyFont="1" applyFill="1" applyBorder="1" applyAlignment="1">
      <alignment vertical="center" wrapText="1"/>
    </xf>
    <xf numFmtId="4" fontId="37" fillId="29" borderId="5" xfId="0" applyNumberFormat="1" applyFont="1" applyFill="1" applyBorder="1" applyAlignment="1">
      <alignment vertical="center" wrapText="1"/>
    </xf>
    <xf numFmtId="4" fontId="37" fillId="0" borderId="4" xfId="0" applyNumberFormat="1" applyFont="1" applyBorder="1" applyAlignment="1">
      <alignment vertical="center" wrapText="1"/>
    </xf>
    <xf numFmtId="4" fontId="37" fillId="26" borderId="4" xfId="0" applyNumberFormat="1" applyFont="1" applyFill="1" applyBorder="1" applyAlignment="1">
      <alignment vertical="center" wrapText="1"/>
    </xf>
    <xf numFmtId="4" fontId="37" fillId="27" borderId="5" xfId="0" applyNumberFormat="1" applyFont="1" applyFill="1" applyBorder="1" applyAlignment="1">
      <alignment vertical="center" wrapText="1"/>
    </xf>
    <xf numFmtId="4" fontId="37" fillId="0" borderId="5" xfId="0" applyNumberFormat="1" applyFont="1" applyFill="1" applyBorder="1" applyAlignment="1">
      <alignment vertical="center" wrapText="1"/>
    </xf>
    <xf numFmtId="0" fontId="37" fillId="0" borderId="99" xfId="0" applyFont="1" applyBorder="1" applyAlignment="1">
      <alignment vertical="center" wrapText="1"/>
    </xf>
    <xf numFmtId="0" fontId="37" fillId="14" borderId="32" xfId="0" applyFont="1" applyFill="1" applyBorder="1" applyAlignment="1">
      <alignment horizontal="center" vertical="center" wrapText="1"/>
    </xf>
    <xf numFmtId="49" fontId="22" fillId="14" borderId="0" xfId="89" applyNumberFormat="1" applyFont="1" applyFill="1" applyBorder="1" applyAlignment="1" applyProtection="1">
      <alignment horizontal="left" vertical="center" wrapText="1"/>
      <protection locked="0"/>
    </xf>
    <xf numFmtId="0" fontId="23" fillId="14" borderId="0" xfId="89" applyNumberFormat="1" applyFont="1" applyFill="1" applyBorder="1" applyAlignment="1" applyProtection="1">
      <alignment horizontal="left" vertical="center" wrapText="1"/>
      <protection locked="0"/>
    </xf>
    <xf numFmtId="0" fontId="37" fillId="14" borderId="34" xfId="0" applyFont="1" applyFill="1" applyBorder="1" applyAlignment="1">
      <alignment horizontal="center" vertical="center" wrapText="1"/>
    </xf>
    <xf numFmtId="0" fontId="37" fillId="14" borderId="0" xfId="0" applyFont="1" applyFill="1" applyAlignment="1">
      <alignment vertical="center" wrapText="1"/>
    </xf>
    <xf numFmtId="1" fontId="30" fillId="31" borderId="16" xfId="0" applyNumberFormat="1" applyFont="1" applyFill="1" applyBorder="1" applyAlignment="1">
      <alignment horizontal="center" vertical="center"/>
    </xf>
    <xf numFmtId="4" fontId="37" fillId="31" borderId="15" xfId="0" applyNumberFormat="1" applyFont="1" applyFill="1" applyBorder="1" applyAlignment="1">
      <alignment vertical="center" wrapText="1"/>
    </xf>
    <xf numFmtId="0" fontId="30" fillId="31" borderId="16" xfId="106" applyNumberFormat="1" applyFont="1" applyFill="1" applyBorder="1" applyAlignment="1">
      <alignment horizontal="center" vertical="center"/>
    </xf>
    <xf numFmtId="4" fontId="30" fillId="31" borderId="15" xfId="0" applyNumberFormat="1" applyFont="1" applyFill="1" applyBorder="1" applyAlignment="1">
      <alignment vertical="center" wrapText="1"/>
    </xf>
    <xf numFmtId="4" fontId="30" fillId="31" borderId="16" xfId="0" applyNumberFormat="1" applyFont="1" applyFill="1" applyBorder="1" applyAlignment="1">
      <alignment horizontal="center" vertical="center"/>
    </xf>
    <xf numFmtId="4" fontId="47" fillId="31" borderId="15" xfId="0" applyNumberFormat="1" applyFont="1" applyFill="1" applyBorder="1" applyAlignment="1">
      <alignment vertical="center" wrapText="1"/>
    </xf>
    <xf numFmtId="42" fontId="31" fillId="31" borderId="17" xfId="72" applyFont="1" applyFill="1" applyBorder="1" applyAlignment="1">
      <alignment vertical="center"/>
    </xf>
    <xf numFmtId="1" fontId="30" fillId="31" borderId="72" xfId="0" applyNumberFormat="1" applyFont="1" applyFill="1" applyBorder="1" applyAlignment="1">
      <alignment horizontal="justify" vertical="center" wrapText="1"/>
    </xf>
    <xf numFmtId="1" fontId="30" fillId="31" borderId="6" xfId="0" applyNumberFormat="1" applyFont="1" applyFill="1" applyBorder="1" applyAlignment="1">
      <alignment horizontal="center" vertical="center"/>
    </xf>
    <xf numFmtId="4" fontId="37" fillId="31" borderId="5" xfId="0" applyNumberFormat="1" applyFont="1" applyFill="1" applyBorder="1" applyAlignment="1">
      <alignment vertical="center" wrapText="1"/>
    </xf>
    <xf numFmtId="0" fontId="30" fillId="31" borderId="6" xfId="106" applyNumberFormat="1" applyFont="1" applyFill="1" applyBorder="1" applyAlignment="1">
      <alignment horizontal="center" vertical="center"/>
    </xf>
    <xf numFmtId="4" fontId="30" fillId="31" borderId="5" xfId="0" applyNumberFormat="1" applyFont="1" applyFill="1" applyBorder="1" applyAlignment="1">
      <alignment vertical="center" wrapText="1"/>
    </xf>
    <xf numFmtId="4" fontId="30" fillId="31" borderId="6" xfId="0" applyNumberFormat="1" applyFont="1" applyFill="1" applyBorder="1" applyAlignment="1">
      <alignment horizontal="center" vertical="center"/>
    </xf>
    <xf numFmtId="4" fontId="47" fillId="31" borderId="5" xfId="0" applyNumberFormat="1" applyFont="1" applyFill="1" applyBorder="1" applyAlignment="1">
      <alignment vertical="center" wrapText="1"/>
    </xf>
    <xf numFmtId="42" fontId="31" fillId="31" borderId="7" xfId="72" applyFont="1" applyFill="1" applyBorder="1" applyAlignment="1">
      <alignment vertical="center"/>
    </xf>
    <xf numFmtId="0" fontId="56" fillId="0" borderId="0" xfId="108" applyAlignment="1">
      <alignment vertical="center"/>
    </xf>
    <xf numFmtId="0" fontId="22" fillId="13" borderId="25" xfId="89" applyFont="1" applyFill="1" applyBorder="1" applyAlignment="1" applyProtection="1">
      <alignment horizontal="left"/>
      <protection locked="0"/>
    </xf>
    <xf numFmtId="0" fontId="22" fillId="13" borderId="25" xfId="89" applyFont="1" applyFill="1" applyBorder="1" applyProtection="1">
      <protection locked="0"/>
    </xf>
    <xf numFmtId="14" fontId="23" fillId="13" borderId="24" xfId="89" applyNumberFormat="1" applyFont="1" applyFill="1" applyBorder="1" applyAlignment="1" applyProtection="1">
      <alignment horizontal="left"/>
      <protection locked="0"/>
    </xf>
    <xf numFmtId="14" fontId="24" fillId="13" borderId="0" xfId="89" applyNumberFormat="1" applyFont="1" applyFill="1" applyBorder="1" applyAlignment="1" applyProtection="1">
      <alignment vertical="center"/>
    </xf>
    <xf numFmtId="14" fontId="14" fillId="14" borderId="0" xfId="89" applyNumberFormat="1" applyFont="1" applyFill="1" applyBorder="1" applyAlignment="1" applyProtection="1">
      <alignment vertical="center"/>
      <protection locked="0"/>
    </xf>
    <xf numFmtId="168" fontId="35" fillId="15" borderId="69" xfId="0" applyNumberFormat="1" applyFont="1" applyFill="1" applyBorder="1" applyAlignment="1">
      <alignment horizontal="left" vertical="center" wrapText="1"/>
    </xf>
    <xf numFmtId="168" fontId="35" fillId="15" borderId="2" xfId="0" applyNumberFormat="1" applyFont="1" applyFill="1" applyBorder="1" applyAlignment="1">
      <alignment horizontal="left" vertical="center" wrapText="1"/>
    </xf>
    <xf numFmtId="168" fontId="35" fillId="15" borderId="47" xfId="0" applyNumberFormat="1" applyFont="1" applyFill="1" applyBorder="1" applyAlignment="1">
      <alignment horizontal="center" vertical="center" wrapText="1"/>
    </xf>
    <xf numFmtId="168" fontId="35" fillId="15" borderId="69" xfId="0" applyNumberFormat="1" applyFont="1" applyFill="1" applyBorder="1" applyAlignment="1">
      <alignment horizontal="center" vertical="center" wrapText="1"/>
    </xf>
    <xf numFmtId="168" fontId="35" fillId="15" borderId="2" xfId="0" applyNumberFormat="1" applyFont="1" applyFill="1" applyBorder="1" applyAlignment="1">
      <alignment horizontal="center" vertical="center" wrapText="1"/>
    </xf>
    <xf numFmtId="0" fontId="34" fillId="14" borderId="25" xfId="0" applyFont="1" applyFill="1" applyBorder="1" applyAlignment="1" applyProtection="1">
      <alignment horizontal="left"/>
    </xf>
    <xf numFmtId="0" fontId="34" fillId="14" borderId="24" xfId="0" applyFont="1" applyFill="1" applyBorder="1" applyAlignment="1" applyProtection="1">
      <alignment horizontal="left"/>
    </xf>
    <xf numFmtId="168" fontId="44" fillId="15" borderId="31" xfId="0" applyNumberFormat="1" applyFont="1" applyFill="1" applyBorder="1" applyAlignment="1">
      <alignment horizontal="center" vertical="center" wrapText="1"/>
    </xf>
    <xf numFmtId="168" fontId="44" fillId="15" borderId="32" xfId="0" applyNumberFormat="1" applyFont="1" applyFill="1" applyBorder="1" applyAlignment="1">
      <alignment horizontal="center" vertical="center" wrapText="1"/>
    </xf>
    <xf numFmtId="168" fontId="44" fillId="15" borderId="23" xfId="0" applyNumberFormat="1" applyFont="1" applyFill="1" applyBorder="1" applyAlignment="1">
      <alignment horizontal="center" vertical="center" wrapText="1"/>
    </xf>
    <xf numFmtId="168" fontId="44" fillId="15" borderId="33" xfId="0" applyNumberFormat="1" applyFont="1" applyFill="1" applyBorder="1" applyAlignment="1">
      <alignment horizontal="center" vertical="center" wrapText="1"/>
    </xf>
    <xf numFmtId="168" fontId="44" fillId="15" borderId="34" xfId="0" applyNumberFormat="1" applyFont="1" applyFill="1" applyBorder="1" applyAlignment="1">
      <alignment horizontal="center" vertical="center" wrapText="1"/>
    </xf>
    <xf numFmtId="168" fontId="44" fillId="15" borderId="35" xfId="0" applyNumberFormat="1" applyFont="1" applyFill="1" applyBorder="1" applyAlignment="1">
      <alignment horizontal="center" vertical="center" wrapText="1"/>
    </xf>
    <xf numFmtId="49" fontId="2" fillId="14" borderId="53" xfId="89" applyNumberFormat="1" applyFont="1" applyFill="1" applyBorder="1" applyAlignment="1" applyProtection="1">
      <alignment horizontal="left" vertical="center" wrapText="1" indent="1"/>
      <protection hidden="1"/>
    </xf>
    <xf numFmtId="49" fontId="2" fillId="14" borderId="54" xfId="89" applyNumberFormat="1" applyFont="1" applyFill="1" applyBorder="1" applyAlignment="1" applyProtection="1">
      <alignment horizontal="left" vertical="center" wrapText="1" indent="1"/>
      <protection hidden="1"/>
    </xf>
    <xf numFmtId="49" fontId="2" fillId="14" borderId="55" xfId="89" applyNumberFormat="1" applyFont="1" applyFill="1" applyBorder="1" applyAlignment="1" applyProtection="1">
      <alignment horizontal="left" vertical="center" wrapText="1" indent="1"/>
      <protection hidden="1"/>
    </xf>
    <xf numFmtId="0" fontId="18" fillId="19" borderId="47" xfId="0" applyFont="1" applyFill="1" applyBorder="1" applyAlignment="1">
      <alignment horizontal="center" vertical="center"/>
    </xf>
    <xf numFmtId="0" fontId="18" fillId="19" borderId="69" xfId="0" applyFont="1" applyFill="1" applyBorder="1" applyAlignment="1">
      <alignment horizontal="center" vertical="center"/>
    </xf>
    <xf numFmtId="0" fontId="18" fillId="19" borderId="2" xfId="0" applyFont="1" applyFill="1" applyBorder="1" applyAlignment="1">
      <alignment horizontal="center" vertical="center"/>
    </xf>
    <xf numFmtId="168" fontId="35" fillId="15" borderId="31" xfId="0" applyNumberFormat="1" applyFont="1" applyFill="1" applyBorder="1" applyAlignment="1">
      <alignment horizontal="center" vertical="center" wrapText="1"/>
    </xf>
    <xf numFmtId="168" fontId="35" fillId="15" borderId="23" xfId="0" applyNumberFormat="1" applyFont="1" applyFill="1" applyBorder="1" applyAlignment="1">
      <alignment horizontal="center" vertical="center" wrapText="1"/>
    </xf>
    <xf numFmtId="168" fontId="35" fillId="15" borderId="33" xfId="0" applyNumberFormat="1" applyFont="1" applyFill="1" applyBorder="1" applyAlignment="1">
      <alignment horizontal="center" vertical="center" wrapText="1"/>
    </xf>
    <xf numFmtId="168" fontId="35" fillId="15" borderId="35" xfId="0" applyNumberFormat="1" applyFont="1" applyFill="1" applyBorder="1" applyAlignment="1">
      <alignment horizontal="center" vertical="center" wrapText="1"/>
    </xf>
    <xf numFmtId="0" fontId="27" fillId="14" borderId="104" xfId="0" applyFont="1" applyFill="1" applyBorder="1" applyAlignment="1">
      <alignment horizontal="center" vertical="center"/>
    </xf>
    <xf numFmtId="0" fontId="27" fillId="14" borderId="107" xfId="0" applyFont="1" applyFill="1" applyBorder="1" applyAlignment="1">
      <alignment horizontal="center" vertical="center"/>
    </xf>
    <xf numFmtId="0" fontId="40" fillId="14" borderId="105" xfId="0" applyFont="1" applyFill="1" applyBorder="1" applyAlignment="1">
      <alignment horizontal="center" vertical="center"/>
    </xf>
    <xf numFmtId="0" fontId="40" fillId="14" borderId="97" xfId="0" applyFont="1" applyFill="1" applyBorder="1" applyAlignment="1">
      <alignment horizontal="center" vertical="center"/>
    </xf>
    <xf numFmtId="0" fontId="41" fillId="14" borderId="105" xfId="0" applyFont="1" applyFill="1" applyBorder="1" applyAlignment="1">
      <alignment horizontal="center" vertical="center"/>
    </xf>
    <xf numFmtId="0" fontId="41" fillId="14" borderId="97" xfId="0" applyFont="1" applyFill="1" applyBorder="1" applyAlignment="1">
      <alignment horizontal="center" vertical="center"/>
    </xf>
    <xf numFmtId="0" fontId="27" fillId="14" borderId="98" xfId="0" applyFont="1" applyFill="1" applyBorder="1" applyAlignment="1">
      <alignment horizontal="center" vertical="center"/>
    </xf>
    <xf numFmtId="0" fontId="27" fillId="14" borderId="108" xfId="0" applyFont="1" applyFill="1" applyBorder="1" applyAlignment="1">
      <alignment horizontal="center" vertical="center"/>
    </xf>
    <xf numFmtId="0" fontId="27" fillId="14" borderId="105" xfId="0" applyFont="1" applyFill="1" applyBorder="1" applyAlignment="1">
      <alignment horizontal="center" vertical="center"/>
    </xf>
    <xf numFmtId="0" fontId="18" fillId="13" borderId="84" xfId="80" applyFont="1" applyFill="1" applyBorder="1" applyAlignment="1" applyProtection="1">
      <alignment horizontal="center" vertical="center" wrapText="1"/>
    </xf>
    <xf numFmtId="0" fontId="18" fillId="13" borderId="37" xfId="80" applyFont="1" applyFill="1" applyBorder="1" applyAlignment="1" applyProtection="1">
      <alignment horizontal="center" vertical="center" wrapText="1"/>
    </xf>
    <xf numFmtId="0" fontId="18" fillId="13" borderId="87" xfId="80" applyFont="1" applyFill="1" applyBorder="1" applyAlignment="1" applyProtection="1">
      <alignment horizontal="center" vertical="center" wrapText="1"/>
    </xf>
    <xf numFmtId="0" fontId="18" fillId="13" borderId="88" xfId="80" applyFont="1" applyFill="1" applyBorder="1" applyAlignment="1" applyProtection="1">
      <alignment horizontal="center" vertical="center" wrapText="1"/>
    </xf>
    <xf numFmtId="0" fontId="18" fillId="13" borderId="82" xfId="80" applyFont="1" applyFill="1" applyBorder="1" applyAlignment="1" applyProtection="1">
      <alignment horizontal="center" vertical="center" wrapText="1"/>
    </xf>
    <xf numFmtId="0" fontId="18" fillId="13" borderId="54" xfId="80" applyFont="1" applyFill="1" applyBorder="1" applyAlignment="1" applyProtection="1">
      <alignment horizontal="center" vertical="center" wrapText="1"/>
    </xf>
    <xf numFmtId="0" fontId="18" fillId="13" borderId="61" xfId="80" applyFont="1" applyFill="1" applyBorder="1" applyAlignment="1" applyProtection="1">
      <alignment horizontal="center" vertical="center" wrapText="1"/>
    </xf>
    <xf numFmtId="0" fontId="18" fillId="13" borderId="39" xfId="80" applyFont="1" applyFill="1" applyBorder="1" applyAlignment="1" applyProtection="1">
      <alignment horizontal="center" vertical="center" wrapText="1"/>
    </xf>
    <xf numFmtId="168" fontId="33" fillId="15" borderId="47" xfId="0" applyNumberFormat="1" applyFont="1" applyFill="1" applyBorder="1" applyAlignment="1">
      <alignment horizontal="center" vertical="center" wrapText="1"/>
    </xf>
    <xf numFmtId="168" fontId="33" fillId="15" borderId="69" xfId="0" applyNumberFormat="1" applyFont="1" applyFill="1" applyBorder="1" applyAlignment="1">
      <alignment horizontal="center" vertical="center" wrapText="1"/>
    </xf>
    <xf numFmtId="168" fontId="33" fillId="15" borderId="2" xfId="0" applyNumberFormat="1" applyFont="1" applyFill="1" applyBorder="1" applyAlignment="1">
      <alignment horizontal="center" vertical="center" wrapText="1"/>
    </xf>
    <xf numFmtId="168" fontId="45" fillId="22" borderId="31" xfId="0" applyNumberFormat="1" applyFont="1" applyFill="1" applyBorder="1" applyAlignment="1">
      <alignment horizontal="center" vertical="center" wrapText="1"/>
    </xf>
    <xf numFmtId="168" fontId="45" fillId="22" borderId="32" xfId="0" applyNumberFormat="1" applyFont="1" applyFill="1" applyBorder="1" applyAlignment="1">
      <alignment horizontal="center" vertical="center" wrapText="1"/>
    </xf>
    <xf numFmtId="168" fontId="45" fillId="22" borderId="23" xfId="0" applyNumberFormat="1" applyFont="1" applyFill="1" applyBorder="1" applyAlignment="1">
      <alignment horizontal="center" vertical="center" wrapText="1"/>
    </xf>
    <xf numFmtId="168" fontId="45" fillId="22" borderId="33" xfId="0" applyNumberFormat="1" applyFont="1" applyFill="1" applyBorder="1" applyAlignment="1">
      <alignment horizontal="center" vertical="center" wrapText="1"/>
    </xf>
    <xf numFmtId="168" fontId="45" fillId="22" borderId="34" xfId="0" applyNumberFormat="1" applyFont="1" applyFill="1" applyBorder="1" applyAlignment="1">
      <alignment horizontal="center" vertical="center" wrapText="1"/>
    </xf>
    <xf numFmtId="168" fontId="45" fillId="22" borderId="35" xfId="0" applyNumberFormat="1" applyFont="1" applyFill="1" applyBorder="1" applyAlignment="1">
      <alignment horizontal="center" vertical="center" wrapText="1"/>
    </xf>
    <xf numFmtId="0" fontId="18" fillId="13" borderId="31" xfId="80" applyFont="1" applyFill="1" applyBorder="1" applyAlignment="1" applyProtection="1">
      <alignment horizontal="center" vertical="center" wrapText="1"/>
    </xf>
    <xf numFmtId="0" fontId="18" fillId="13" borderId="85" xfId="80" applyFont="1" applyFill="1" applyBorder="1" applyAlignment="1" applyProtection="1">
      <alignment horizontal="center" vertical="center" wrapText="1"/>
    </xf>
    <xf numFmtId="0" fontId="18" fillId="13" borderId="33" xfId="80" applyFont="1" applyFill="1" applyBorder="1" applyAlignment="1" applyProtection="1">
      <alignment horizontal="center" vertical="center" wrapText="1"/>
    </xf>
    <xf numFmtId="0" fontId="18" fillId="13" borderId="86" xfId="80" applyFont="1" applyFill="1" applyBorder="1" applyAlignment="1" applyProtection="1">
      <alignment horizontal="center" vertical="center" wrapText="1"/>
    </xf>
    <xf numFmtId="0" fontId="35" fillId="17" borderId="47" xfId="0" applyFont="1" applyFill="1" applyBorder="1" applyAlignment="1">
      <alignment horizontal="left" vertical="center" wrapText="1"/>
    </xf>
    <xf numFmtId="0" fontId="35" fillId="17" borderId="69" xfId="0" applyFont="1" applyFill="1" applyBorder="1" applyAlignment="1">
      <alignment horizontal="left" vertical="center" wrapText="1"/>
    </xf>
    <xf numFmtId="0" fontId="35" fillId="17" borderId="47" xfId="0" applyFont="1" applyFill="1" applyBorder="1" applyAlignment="1">
      <alignment horizontal="center" vertical="center" wrapText="1"/>
    </xf>
    <xf numFmtId="0" fontId="35" fillId="17" borderId="69" xfId="0" applyFont="1" applyFill="1" applyBorder="1" applyAlignment="1">
      <alignment horizontal="center" vertical="center" wrapText="1"/>
    </xf>
    <xf numFmtId="0" fontId="35" fillId="17" borderId="2" xfId="0" applyFont="1" applyFill="1" applyBorder="1" applyAlignment="1">
      <alignment horizontal="center" vertical="center" wrapText="1"/>
    </xf>
    <xf numFmtId="0" fontId="18" fillId="13" borderId="83" xfId="80" applyFont="1" applyFill="1" applyBorder="1" applyAlignment="1" applyProtection="1">
      <alignment horizontal="center" vertical="center" wrapText="1"/>
    </xf>
    <xf numFmtId="0" fontId="18" fillId="13" borderId="80" xfId="80" applyFont="1" applyFill="1" applyBorder="1" applyAlignment="1" applyProtection="1">
      <alignment horizontal="center" vertical="center" wrapText="1"/>
    </xf>
    <xf numFmtId="0" fontId="27" fillId="0" borderId="104" xfId="0" applyFont="1" applyBorder="1" applyAlignment="1">
      <alignment horizontal="center" vertical="center"/>
    </xf>
    <xf numFmtId="0" fontId="27" fillId="0" borderId="107" xfId="0" applyFont="1" applyBorder="1" applyAlignment="1">
      <alignment horizontal="center" vertical="center"/>
    </xf>
    <xf numFmtId="0" fontId="18" fillId="13" borderId="32" xfId="80" applyFont="1" applyFill="1" applyBorder="1" applyAlignment="1" applyProtection="1">
      <alignment horizontal="center" vertical="center" wrapText="1"/>
    </xf>
    <xf numFmtId="0" fontId="18" fillId="13" borderId="55" xfId="80" applyFont="1" applyFill="1" applyBorder="1" applyAlignment="1" applyProtection="1">
      <alignment horizontal="center" vertical="center" wrapText="1"/>
    </xf>
    <xf numFmtId="0" fontId="27" fillId="0" borderId="98" xfId="0" applyFont="1" applyBorder="1" applyAlignment="1">
      <alignment horizontal="center" vertical="center"/>
    </xf>
    <xf numFmtId="0" fontId="27" fillId="0" borderId="108" xfId="0" applyFont="1" applyBorder="1" applyAlignment="1">
      <alignment horizontal="center" vertical="center"/>
    </xf>
    <xf numFmtId="0" fontId="27" fillId="0" borderId="105" xfId="0" applyFont="1" applyBorder="1" applyAlignment="1">
      <alignment horizontal="center" vertical="center"/>
    </xf>
    <xf numFmtId="0" fontId="40" fillId="0" borderId="105" xfId="0" applyFont="1" applyBorder="1" applyAlignment="1">
      <alignment horizontal="center" vertical="center"/>
    </xf>
    <xf numFmtId="0" fontId="40" fillId="0" borderId="97" xfId="0" applyFont="1" applyBorder="1" applyAlignment="1">
      <alignment horizontal="center" vertical="center"/>
    </xf>
    <xf numFmtId="0" fontId="42" fillId="0" borderId="105" xfId="0" applyFont="1" applyBorder="1" applyAlignment="1">
      <alignment horizontal="center" vertical="center"/>
    </xf>
    <xf numFmtId="0" fontId="42" fillId="0" borderId="97" xfId="0" applyFont="1" applyBorder="1" applyAlignment="1">
      <alignment horizontal="center" vertical="center"/>
    </xf>
    <xf numFmtId="0" fontId="17" fillId="19" borderId="47" xfId="0" applyFont="1" applyFill="1" applyBorder="1" applyAlignment="1">
      <alignment horizontal="center" vertical="center"/>
    </xf>
    <xf numFmtId="0" fontId="17" fillId="19" borderId="69" xfId="0" applyFont="1" applyFill="1" applyBorder="1" applyAlignment="1">
      <alignment horizontal="center" vertical="center"/>
    </xf>
    <xf numFmtId="0" fontId="17" fillId="19" borderId="2" xfId="0" applyFont="1" applyFill="1" applyBorder="1" applyAlignment="1">
      <alignment horizontal="center" vertical="center"/>
    </xf>
    <xf numFmtId="0" fontId="18" fillId="13" borderId="41" xfId="80" applyFont="1" applyFill="1" applyBorder="1" applyAlignment="1" applyProtection="1">
      <alignment horizontal="center" vertical="center" wrapText="1"/>
    </xf>
    <xf numFmtId="0" fontId="18" fillId="13" borderId="36" xfId="80" applyFont="1" applyFill="1" applyBorder="1" applyAlignment="1" applyProtection="1">
      <alignment horizontal="center" vertical="center" wrapText="1"/>
    </xf>
    <xf numFmtId="0" fontId="18" fillId="13" borderId="34" xfId="80" applyFont="1" applyFill="1" applyBorder="1" applyAlignment="1" applyProtection="1">
      <alignment horizontal="center" vertical="center" wrapText="1"/>
    </xf>
    <xf numFmtId="49" fontId="38" fillId="15" borderId="47" xfId="0" applyNumberFormat="1" applyFont="1" applyFill="1" applyBorder="1" applyAlignment="1">
      <alignment horizontal="center" vertical="center" wrapText="1"/>
    </xf>
    <xf numFmtId="0" fontId="38" fillId="15" borderId="2" xfId="0" applyNumberFormat="1" applyFont="1" applyFill="1" applyBorder="1" applyAlignment="1">
      <alignment horizontal="center" vertical="center" wrapText="1"/>
    </xf>
    <xf numFmtId="0" fontId="19" fillId="19" borderId="47" xfId="0" applyFont="1" applyFill="1" applyBorder="1" applyAlignment="1">
      <alignment horizontal="center" vertical="center"/>
    </xf>
    <xf numFmtId="0" fontId="19" fillId="19" borderId="69" xfId="0" applyFont="1" applyFill="1" applyBorder="1" applyAlignment="1">
      <alignment horizontal="center" vertical="center"/>
    </xf>
    <xf numFmtId="0" fontId="19" fillId="19" borderId="2" xfId="0" applyFont="1" applyFill="1" applyBorder="1" applyAlignment="1">
      <alignment horizontal="center" vertical="center"/>
    </xf>
    <xf numFmtId="0" fontId="18" fillId="16" borderId="47" xfId="0" applyFont="1" applyFill="1" applyBorder="1" applyAlignment="1">
      <alignment horizontal="left" vertical="center" wrapText="1"/>
    </xf>
    <xf numFmtId="0" fontId="18" fillId="16" borderId="69" xfId="0" applyFont="1" applyFill="1" applyBorder="1" applyAlignment="1">
      <alignment horizontal="left" vertical="center" wrapText="1"/>
    </xf>
    <xf numFmtId="0" fontId="18" fillId="13" borderId="38" xfId="80" applyFont="1" applyFill="1" applyBorder="1" applyAlignment="1" applyProtection="1">
      <alignment horizontal="center" vertical="center" wrapText="1"/>
    </xf>
    <xf numFmtId="0" fontId="30" fillId="18" borderId="56" xfId="0" applyFont="1" applyFill="1" applyBorder="1" applyAlignment="1">
      <alignment horizontal="left" vertical="center" wrapText="1"/>
    </xf>
    <xf numFmtId="0" fontId="30" fillId="18" borderId="57" xfId="0" applyFont="1" applyFill="1" applyBorder="1" applyAlignment="1">
      <alignment horizontal="left" vertical="center" wrapText="1"/>
    </xf>
    <xf numFmtId="0" fontId="30" fillId="18" borderId="62" xfId="0" applyFont="1" applyFill="1" applyBorder="1" applyAlignment="1">
      <alignment horizontal="left" vertical="center" wrapText="1"/>
    </xf>
    <xf numFmtId="0" fontId="35" fillId="17" borderId="49" xfId="0" applyFont="1" applyFill="1" applyBorder="1" applyAlignment="1">
      <alignment horizontal="center" vertical="center" wrapText="1"/>
    </xf>
    <xf numFmtId="0" fontId="18" fillId="13" borderId="81" xfId="80" applyFont="1" applyFill="1" applyBorder="1" applyAlignment="1" applyProtection="1">
      <alignment horizontal="center" vertical="center" wrapText="1"/>
    </xf>
    <xf numFmtId="0" fontId="18" fillId="13" borderId="59" xfId="80" applyFont="1" applyFill="1" applyBorder="1" applyAlignment="1" applyProtection="1">
      <alignment horizontal="center" vertical="center" wrapText="1"/>
    </xf>
    <xf numFmtId="0" fontId="30" fillId="18" borderId="53" xfId="0" applyFont="1" applyFill="1" applyBorder="1" applyAlignment="1">
      <alignment horizontal="left" vertical="center" wrapText="1"/>
    </xf>
    <xf numFmtId="0" fontId="30" fillId="18" borderId="54" xfId="0" applyFont="1" applyFill="1" applyBorder="1" applyAlignment="1">
      <alignment horizontal="left" vertical="center" wrapText="1"/>
    </xf>
    <xf numFmtId="0" fontId="30" fillId="18" borderId="61" xfId="0" applyFont="1" applyFill="1" applyBorder="1" applyAlignment="1">
      <alignment horizontal="left" vertical="center" wrapText="1"/>
    </xf>
    <xf numFmtId="1" fontId="30" fillId="14" borderId="77" xfId="0" applyNumberFormat="1" applyFont="1" applyFill="1" applyBorder="1" applyAlignment="1">
      <alignment horizontal="center" vertical="center" wrapText="1"/>
    </xf>
    <xf numFmtId="1" fontId="30" fillId="14" borderId="91" xfId="0" applyNumberFormat="1" applyFont="1" applyFill="1" applyBorder="1" applyAlignment="1">
      <alignment horizontal="center" vertical="center" wrapText="1"/>
    </xf>
    <xf numFmtId="1" fontId="30" fillId="14" borderId="3" xfId="0" applyNumberFormat="1" applyFont="1" applyFill="1" applyBorder="1" applyAlignment="1">
      <alignment horizontal="center" vertical="center" wrapText="1"/>
    </xf>
    <xf numFmtId="1" fontId="30" fillId="14" borderId="89" xfId="0" applyNumberFormat="1" applyFont="1" applyFill="1" applyBorder="1" applyAlignment="1">
      <alignment horizontal="center" vertical="center" wrapText="1"/>
    </xf>
    <xf numFmtId="0" fontId="48" fillId="0" borderId="89" xfId="80" applyFont="1" applyBorder="1" applyAlignment="1">
      <alignment horizontal="center" vertical="center" wrapText="1"/>
    </xf>
    <xf numFmtId="0" fontId="48" fillId="0" borderId="91" xfId="80" applyFont="1" applyBorder="1" applyAlignment="1">
      <alignment horizontal="center" vertical="center" wrapText="1"/>
    </xf>
    <xf numFmtId="0" fontId="48" fillId="0" borderId="3" xfId="80" applyFont="1" applyBorder="1" applyAlignment="1">
      <alignment horizontal="center" vertical="center" wrapText="1"/>
    </xf>
    <xf numFmtId="1" fontId="30" fillId="14" borderId="77" xfId="0" applyNumberFormat="1" applyFont="1" applyFill="1" applyBorder="1" applyAlignment="1">
      <alignment horizontal="justify" vertical="center" wrapText="1"/>
    </xf>
    <xf numFmtId="1" fontId="30" fillId="14" borderId="3" xfId="0" applyNumberFormat="1" applyFont="1" applyFill="1" applyBorder="1" applyAlignment="1">
      <alignment horizontal="justify" vertical="center" wrapText="1"/>
    </xf>
    <xf numFmtId="1" fontId="30" fillId="14" borderId="89" xfId="0" applyNumberFormat="1" applyFont="1" applyFill="1" applyBorder="1" applyAlignment="1">
      <alignment horizontal="justify" vertical="center" wrapText="1"/>
    </xf>
    <xf numFmtId="1" fontId="30" fillId="14" borderId="91" xfId="0" applyNumberFormat="1" applyFont="1" applyFill="1" applyBorder="1" applyAlignment="1">
      <alignment horizontal="justify" vertical="center" wrapText="1"/>
    </xf>
    <xf numFmtId="0" fontId="39" fillId="17" borderId="47" xfId="0" applyFont="1" applyFill="1" applyBorder="1" applyAlignment="1">
      <alignment horizontal="right" vertical="center" wrapText="1"/>
    </xf>
    <xf numFmtId="0" fontId="39" fillId="17" borderId="69" xfId="0" applyFont="1" applyFill="1" applyBorder="1" applyAlignment="1">
      <alignment horizontal="right" vertical="center" wrapText="1"/>
    </xf>
    <xf numFmtId="168" fontId="32" fillId="15" borderId="89" xfId="0" applyNumberFormat="1" applyFont="1" applyFill="1" applyBorder="1" applyAlignment="1">
      <alignment horizontal="center" vertical="center" wrapText="1"/>
    </xf>
    <xf numFmtId="168" fontId="32" fillId="15" borderId="90" xfId="0" applyNumberFormat="1" applyFont="1" applyFill="1" applyBorder="1" applyAlignment="1">
      <alignment horizontal="center" vertical="center" wrapText="1"/>
    </xf>
    <xf numFmtId="168" fontId="32" fillId="15" borderId="47" xfId="0" applyNumberFormat="1" applyFont="1" applyFill="1" applyBorder="1" applyAlignment="1">
      <alignment horizontal="center" vertical="center" wrapText="1"/>
    </xf>
    <xf numFmtId="168" fontId="32" fillId="15" borderId="2" xfId="0" applyNumberFormat="1" applyFont="1" applyFill="1" applyBorder="1" applyAlignment="1">
      <alignment horizontal="center" vertical="center" wrapText="1"/>
    </xf>
    <xf numFmtId="168" fontId="32" fillId="15" borderId="31" xfId="0" applyNumberFormat="1" applyFont="1" applyFill="1" applyBorder="1" applyAlignment="1">
      <alignment horizontal="center" vertical="center" wrapText="1"/>
    </xf>
    <xf numFmtId="168" fontId="32" fillId="15" borderId="32" xfId="0" applyNumberFormat="1" applyFont="1" applyFill="1" applyBorder="1" applyAlignment="1">
      <alignment horizontal="center" vertical="center" wrapText="1"/>
    </xf>
    <xf numFmtId="168" fontId="32" fillId="15" borderId="33" xfId="0" applyNumberFormat="1" applyFont="1" applyFill="1" applyBorder="1" applyAlignment="1">
      <alignment horizontal="center" vertical="center" wrapText="1"/>
    </xf>
    <xf numFmtId="168" fontId="32" fillId="15" borderId="34" xfId="0" applyNumberFormat="1" applyFont="1" applyFill="1" applyBorder="1" applyAlignment="1">
      <alignment horizontal="center" vertical="center" wrapText="1"/>
    </xf>
    <xf numFmtId="168" fontId="32" fillId="15" borderId="91" xfId="0" applyNumberFormat="1" applyFont="1" applyFill="1" applyBorder="1" applyAlignment="1">
      <alignment horizontal="center" vertical="center" wrapText="1"/>
    </xf>
    <xf numFmtId="168" fontId="32" fillId="15" borderId="0" xfId="0" applyNumberFormat="1" applyFont="1" applyFill="1" applyBorder="1" applyAlignment="1">
      <alignment horizontal="center" vertical="center" wrapText="1"/>
    </xf>
    <xf numFmtId="168" fontId="32" fillId="15" borderId="69" xfId="0" applyNumberFormat="1" applyFont="1" applyFill="1" applyBorder="1" applyAlignment="1">
      <alignment horizontal="center" vertical="center" wrapText="1"/>
    </xf>
    <xf numFmtId="42" fontId="35" fillId="15" borderId="89" xfId="72" applyFont="1" applyFill="1" applyBorder="1" applyAlignment="1">
      <alignment horizontal="center" vertical="center" wrapText="1"/>
    </xf>
    <xf numFmtId="42" fontId="35" fillId="15" borderId="90" xfId="72" applyFont="1" applyFill="1" applyBorder="1" applyAlignment="1">
      <alignment horizontal="center" vertical="center" wrapText="1"/>
    </xf>
    <xf numFmtId="0" fontId="27" fillId="0" borderId="97" xfId="0" applyFont="1" applyBorder="1" applyAlignment="1">
      <alignment horizontal="center" vertical="center"/>
    </xf>
    <xf numFmtId="0" fontId="27" fillId="0" borderId="109" xfId="0" applyFont="1" applyBorder="1" applyAlignment="1">
      <alignment horizontal="center" vertical="center"/>
    </xf>
    <xf numFmtId="0" fontId="43" fillId="0" borderId="105" xfId="0" applyFont="1" applyBorder="1" applyAlignment="1">
      <alignment horizontal="center" vertical="center"/>
    </xf>
    <xf numFmtId="0" fontId="43" fillId="0" borderId="97" xfId="0" applyFont="1" applyBorder="1" applyAlignment="1">
      <alignment horizontal="center" vertical="center"/>
    </xf>
    <xf numFmtId="0" fontId="43" fillId="0" borderId="109" xfId="0" applyFont="1" applyBorder="1" applyAlignment="1">
      <alignment horizontal="center" vertical="center"/>
    </xf>
    <xf numFmtId="0" fontId="27" fillId="0" borderId="110" xfId="0" applyFont="1" applyBorder="1" applyAlignment="1">
      <alignment horizontal="center" vertical="center"/>
    </xf>
    <xf numFmtId="0" fontId="27" fillId="0" borderId="111" xfId="0" applyFont="1" applyBorder="1" applyAlignment="1">
      <alignment horizontal="center" vertical="center"/>
    </xf>
    <xf numFmtId="0" fontId="27" fillId="14" borderId="0" xfId="0" applyFont="1" applyFill="1" applyAlignment="1">
      <alignment horizontal="center" vertical="center"/>
    </xf>
    <xf numFmtId="0" fontId="32" fillId="21" borderId="69" xfId="0" applyFont="1" applyFill="1" applyBorder="1" applyAlignment="1">
      <alignment horizontal="center" vertical="center"/>
    </xf>
    <xf numFmtId="0" fontId="32" fillId="21" borderId="2" xfId="0" applyFont="1" applyFill="1" applyBorder="1" applyAlignment="1">
      <alignment horizontal="center" vertical="center"/>
    </xf>
    <xf numFmtId="49" fontId="38" fillId="15" borderId="69" xfId="0" applyNumberFormat="1" applyFont="1" applyFill="1" applyBorder="1" applyAlignment="1">
      <alignment horizontal="center" vertical="center" wrapText="1"/>
    </xf>
    <xf numFmtId="49" fontId="38" fillId="15" borderId="2" xfId="0" applyNumberFormat="1" applyFont="1" applyFill="1" applyBorder="1" applyAlignment="1">
      <alignment horizontal="center" vertical="center" wrapText="1"/>
    </xf>
    <xf numFmtId="2" fontId="32" fillId="21" borderId="34" xfId="0" applyNumberFormat="1" applyFont="1" applyFill="1" applyBorder="1" applyAlignment="1">
      <alignment horizontal="center" vertical="center" wrapText="1"/>
    </xf>
    <xf numFmtId="1" fontId="30" fillId="25" borderId="77" xfId="0" applyNumberFormat="1" applyFont="1" applyFill="1" applyBorder="1" applyAlignment="1">
      <alignment horizontal="justify" vertical="center" wrapText="1"/>
    </xf>
    <xf numFmtId="1" fontId="30" fillId="25" borderId="3" xfId="0" applyNumberFormat="1" applyFont="1" applyFill="1" applyBorder="1" applyAlignment="1">
      <alignment horizontal="justify" vertical="center" wrapText="1"/>
    </xf>
    <xf numFmtId="0" fontId="2" fillId="26" borderId="20" xfId="80" applyFont="1" applyFill="1" applyBorder="1" applyAlignment="1">
      <alignment horizontal="justify" vertical="center" wrapText="1"/>
    </xf>
    <xf numFmtId="0" fontId="2" fillId="0" borderId="20" xfId="80" applyFont="1" applyBorder="1" applyAlignment="1">
      <alignment horizontal="justify" vertical="center" wrapText="1"/>
    </xf>
    <xf numFmtId="0" fontId="2" fillId="0" borderId="89" xfId="80" applyFont="1" applyBorder="1" applyAlignment="1">
      <alignment horizontal="justify" vertical="center" wrapText="1"/>
    </xf>
    <xf numFmtId="0" fontId="2" fillId="0" borderId="91" xfId="80" applyFont="1" applyBorder="1" applyAlignment="1">
      <alignment horizontal="justify" vertical="center" wrapText="1"/>
    </xf>
    <xf numFmtId="0" fontId="2" fillId="0" borderId="3" xfId="80" applyFont="1" applyBorder="1" applyAlignment="1">
      <alignment horizontal="justify" vertical="center" wrapText="1"/>
    </xf>
    <xf numFmtId="1" fontId="47" fillId="14" borderId="89" xfId="0" applyNumberFormat="1" applyFont="1" applyFill="1" applyBorder="1" applyAlignment="1">
      <alignment horizontal="justify" vertical="center" wrapText="1"/>
    </xf>
    <xf numFmtId="1" fontId="47" fillId="14" borderId="91" xfId="0" applyNumberFormat="1" applyFont="1" applyFill="1" applyBorder="1" applyAlignment="1">
      <alignment horizontal="justify" vertical="center" wrapText="1"/>
    </xf>
    <xf numFmtId="1" fontId="47" fillId="14" borderId="3" xfId="0" applyNumberFormat="1" applyFont="1" applyFill="1" applyBorder="1" applyAlignment="1">
      <alignment horizontal="justify" vertical="center" wrapText="1"/>
    </xf>
    <xf numFmtId="1" fontId="30" fillId="30" borderId="77" xfId="0" applyNumberFormat="1" applyFont="1" applyFill="1" applyBorder="1" applyAlignment="1">
      <alignment horizontal="justify" vertical="center" wrapText="1"/>
    </xf>
    <xf numFmtId="1" fontId="30" fillId="30" borderId="91" xfId="0" applyNumberFormat="1" applyFont="1" applyFill="1" applyBorder="1" applyAlignment="1">
      <alignment horizontal="justify" vertical="center" wrapText="1"/>
    </xf>
    <xf numFmtId="1" fontId="30" fillId="30" borderId="3" xfId="0" applyNumberFormat="1" applyFont="1" applyFill="1" applyBorder="1" applyAlignment="1">
      <alignment horizontal="justify" vertical="center" wrapText="1"/>
    </xf>
    <xf numFmtId="0" fontId="29" fillId="0" borderId="44" xfId="0" applyFont="1" applyBorder="1" applyAlignment="1">
      <alignment horizontal="left"/>
    </xf>
    <xf numFmtId="0" fontId="0" fillId="0" borderId="44" xfId="0" applyBorder="1" applyAlignment="1">
      <alignment horizontal="center"/>
    </xf>
    <xf numFmtId="0" fontId="49" fillId="0" borderId="47" xfId="0" applyFont="1" applyBorder="1" applyAlignment="1" applyProtection="1">
      <alignment horizontal="center" vertical="center" wrapText="1"/>
      <protection hidden="1"/>
    </xf>
    <xf numFmtId="0" fontId="49" fillId="0" borderId="69" xfId="0" applyFont="1" applyBorder="1" applyAlignment="1" applyProtection="1">
      <alignment horizontal="center" vertical="center" wrapText="1"/>
      <protection hidden="1"/>
    </xf>
    <xf numFmtId="0" fontId="49" fillId="0" borderId="2" xfId="0" applyFont="1" applyBorder="1" applyAlignment="1" applyProtection="1">
      <alignment horizontal="center" vertical="center" wrapText="1"/>
      <protection hidden="1"/>
    </xf>
    <xf numFmtId="42" fontId="38" fillId="17" borderId="2" xfId="72" applyFont="1" applyFill="1" applyBorder="1" applyAlignment="1">
      <alignment vertical="center" wrapText="1"/>
    </xf>
  </cellXfs>
  <cellStyles count="109">
    <cellStyle name="Énfasis 1" xfId="1" xr:uid="{00000000-0005-0000-0000-000000000000}"/>
    <cellStyle name="Énfasis 2" xfId="2" xr:uid="{00000000-0005-0000-0000-000001000000}"/>
    <cellStyle name="Énfasis 3" xfId="3" xr:uid="{00000000-0005-0000-0000-000002000000}"/>
    <cellStyle name="Énfasis1 - 20%" xfId="4" xr:uid="{00000000-0005-0000-0000-000003000000}"/>
    <cellStyle name="Énfasis1 - 40%" xfId="5" xr:uid="{00000000-0005-0000-0000-000004000000}"/>
    <cellStyle name="Énfasis1 - 60%" xfId="6" xr:uid="{00000000-0005-0000-0000-000005000000}"/>
    <cellStyle name="Énfasis2 - 20%" xfId="7" xr:uid="{00000000-0005-0000-0000-000006000000}"/>
    <cellStyle name="Énfasis2 - 40%" xfId="8" xr:uid="{00000000-0005-0000-0000-000007000000}"/>
    <cellStyle name="Énfasis2 - 60%" xfId="9" xr:uid="{00000000-0005-0000-0000-000008000000}"/>
    <cellStyle name="Énfasis3 - 20%" xfId="10" xr:uid="{00000000-0005-0000-0000-000009000000}"/>
    <cellStyle name="Énfasis3 - 40%" xfId="11" xr:uid="{00000000-0005-0000-0000-00000A000000}"/>
    <cellStyle name="Énfasis3 - 60%" xfId="12" xr:uid="{00000000-0005-0000-0000-00000B000000}"/>
    <cellStyle name="Énfasis4 - 20%" xfId="13" xr:uid="{00000000-0005-0000-0000-00000C000000}"/>
    <cellStyle name="Énfasis4 - 40%" xfId="14" xr:uid="{00000000-0005-0000-0000-00000D000000}"/>
    <cellStyle name="Énfasis4 - 60%" xfId="15" xr:uid="{00000000-0005-0000-0000-00000E000000}"/>
    <cellStyle name="Énfasis5 - 20%" xfId="16" xr:uid="{00000000-0005-0000-0000-00000F000000}"/>
    <cellStyle name="Énfasis5 - 40%" xfId="17" xr:uid="{00000000-0005-0000-0000-000010000000}"/>
    <cellStyle name="Énfasis5 - 60%" xfId="18" xr:uid="{00000000-0005-0000-0000-000011000000}"/>
    <cellStyle name="Énfasis6 - 20%" xfId="19" xr:uid="{00000000-0005-0000-0000-000012000000}"/>
    <cellStyle name="Énfasis6 - 40%" xfId="20" xr:uid="{00000000-0005-0000-0000-000013000000}"/>
    <cellStyle name="Énfasis6 - 60%" xfId="21" xr:uid="{00000000-0005-0000-0000-000014000000}"/>
    <cellStyle name="Estilo 1" xfId="22" xr:uid="{00000000-0005-0000-0000-000015000000}"/>
    <cellStyle name="Euro" xfId="23" xr:uid="{00000000-0005-0000-0000-000016000000}"/>
    <cellStyle name="Euro 2" xfId="24" xr:uid="{00000000-0005-0000-0000-000017000000}"/>
    <cellStyle name="Hipervínculo 2" xfId="25" xr:uid="{00000000-0005-0000-0000-000018000000}"/>
    <cellStyle name="Millares" xfId="26" builtinId="3"/>
    <cellStyle name="Millares [0]" xfId="106" builtinId="6"/>
    <cellStyle name="Millares 10" xfId="27" xr:uid="{00000000-0005-0000-0000-00001A000000}"/>
    <cellStyle name="Millares 10 2" xfId="28" xr:uid="{00000000-0005-0000-0000-00001B000000}"/>
    <cellStyle name="Millares 11" xfId="29" xr:uid="{00000000-0005-0000-0000-00001C000000}"/>
    <cellStyle name="Millares 11 2" xfId="30" xr:uid="{00000000-0005-0000-0000-00001D000000}"/>
    <cellStyle name="Millares 12" xfId="31" xr:uid="{00000000-0005-0000-0000-00001E000000}"/>
    <cellStyle name="Millares 12 2" xfId="32" xr:uid="{00000000-0005-0000-0000-00001F000000}"/>
    <cellStyle name="Millares 13" xfId="33" xr:uid="{00000000-0005-0000-0000-000020000000}"/>
    <cellStyle name="Millares 13 2" xfId="34" xr:uid="{00000000-0005-0000-0000-000021000000}"/>
    <cellStyle name="Millares 14" xfId="35" xr:uid="{00000000-0005-0000-0000-000022000000}"/>
    <cellStyle name="Millares 14 2" xfId="36" xr:uid="{00000000-0005-0000-0000-000023000000}"/>
    <cellStyle name="Millares 15" xfId="37" xr:uid="{00000000-0005-0000-0000-000024000000}"/>
    <cellStyle name="Millares 15 2" xfId="38" xr:uid="{00000000-0005-0000-0000-000025000000}"/>
    <cellStyle name="Millares 16" xfId="39" xr:uid="{00000000-0005-0000-0000-000026000000}"/>
    <cellStyle name="Millares 16 2" xfId="40" xr:uid="{00000000-0005-0000-0000-000027000000}"/>
    <cellStyle name="Millares 17" xfId="41" xr:uid="{00000000-0005-0000-0000-000028000000}"/>
    <cellStyle name="Millares 18" xfId="42" xr:uid="{00000000-0005-0000-0000-000029000000}"/>
    <cellStyle name="Millares 19" xfId="43" xr:uid="{00000000-0005-0000-0000-00002A000000}"/>
    <cellStyle name="Millares 2" xfId="44" xr:uid="{00000000-0005-0000-0000-00002B000000}"/>
    <cellStyle name="Millares 2 2" xfId="45" xr:uid="{00000000-0005-0000-0000-00002C000000}"/>
    <cellStyle name="Millares 2 2 2" xfId="46" xr:uid="{00000000-0005-0000-0000-00002D000000}"/>
    <cellStyle name="Millares 2 3" xfId="47" xr:uid="{00000000-0005-0000-0000-00002E000000}"/>
    <cellStyle name="Millares 2 4" xfId="48" xr:uid="{00000000-0005-0000-0000-00002F000000}"/>
    <cellStyle name="Millares 2 4 2" xfId="49" xr:uid="{00000000-0005-0000-0000-000030000000}"/>
    <cellStyle name="Millares 2 5" xfId="50" xr:uid="{00000000-0005-0000-0000-000031000000}"/>
    <cellStyle name="Millares 2 5 2" xfId="51" xr:uid="{00000000-0005-0000-0000-000032000000}"/>
    <cellStyle name="Millares 2 6" xfId="52" xr:uid="{00000000-0005-0000-0000-000033000000}"/>
    <cellStyle name="Millares 2 6 2" xfId="53" xr:uid="{00000000-0005-0000-0000-000034000000}"/>
    <cellStyle name="Millares 2 7" xfId="54" xr:uid="{00000000-0005-0000-0000-000035000000}"/>
    <cellStyle name="Millares 20" xfId="55" xr:uid="{00000000-0005-0000-0000-000036000000}"/>
    <cellStyle name="Millares 3" xfId="56" xr:uid="{00000000-0005-0000-0000-000037000000}"/>
    <cellStyle name="Millares 3 2" xfId="57" xr:uid="{00000000-0005-0000-0000-000038000000}"/>
    <cellStyle name="Millares 3 3" xfId="58" xr:uid="{00000000-0005-0000-0000-000039000000}"/>
    <cellStyle name="Millares 3 4" xfId="59" xr:uid="{00000000-0005-0000-0000-00003A000000}"/>
    <cellStyle name="Millares 4" xfId="60" xr:uid="{00000000-0005-0000-0000-00003B000000}"/>
    <cellStyle name="Millares 4 2" xfId="61" xr:uid="{00000000-0005-0000-0000-00003C000000}"/>
    <cellStyle name="Millares 5" xfId="62" xr:uid="{00000000-0005-0000-0000-00003D000000}"/>
    <cellStyle name="Millares 5 2" xfId="63" xr:uid="{00000000-0005-0000-0000-00003E000000}"/>
    <cellStyle name="Millares 5 3" xfId="64" xr:uid="{00000000-0005-0000-0000-00003F000000}"/>
    <cellStyle name="Millares 6" xfId="65" xr:uid="{00000000-0005-0000-0000-000040000000}"/>
    <cellStyle name="Millares 6 2" xfId="66" xr:uid="{00000000-0005-0000-0000-000041000000}"/>
    <cellStyle name="Millares 7" xfId="67" xr:uid="{00000000-0005-0000-0000-000042000000}"/>
    <cellStyle name="Millares 8" xfId="68" xr:uid="{00000000-0005-0000-0000-000043000000}"/>
    <cellStyle name="Millares 8 2" xfId="69" xr:uid="{00000000-0005-0000-0000-000044000000}"/>
    <cellStyle name="Millares 9" xfId="70" xr:uid="{00000000-0005-0000-0000-000045000000}"/>
    <cellStyle name="Millares 9 2" xfId="71" xr:uid="{00000000-0005-0000-0000-000046000000}"/>
    <cellStyle name="Moneda [0]" xfId="72" builtinId="7"/>
    <cellStyle name="Moneda 2" xfId="73" xr:uid="{00000000-0005-0000-0000-000048000000}"/>
    <cellStyle name="Moneda 3" xfId="74" xr:uid="{00000000-0005-0000-0000-000049000000}"/>
    <cellStyle name="Moneda 4" xfId="75" xr:uid="{00000000-0005-0000-0000-00004A000000}"/>
    <cellStyle name="Moneda 5" xfId="76" xr:uid="{00000000-0005-0000-0000-00004B000000}"/>
    <cellStyle name="Moneda 6" xfId="77" xr:uid="{00000000-0005-0000-0000-00004C000000}"/>
    <cellStyle name="Moneda 7" xfId="78" xr:uid="{00000000-0005-0000-0000-00004D000000}"/>
    <cellStyle name="Normal" xfId="0" builtinId="0"/>
    <cellStyle name="Normal 10" xfId="108" xr:uid="{31F1AE63-2323-43C9-9F9F-017954F33E96}"/>
    <cellStyle name="Normal 2" xfId="79" xr:uid="{00000000-0005-0000-0000-00004F000000}"/>
    <cellStyle name="Normal 2 2" xfId="80" xr:uid="{00000000-0005-0000-0000-000050000000}"/>
    <cellStyle name="Normal 2 2 2" xfId="81" xr:uid="{00000000-0005-0000-0000-000051000000}"/>
    <cellStyle name="Normal 2 3" xfId="82" xr:uid="{00000000-0005-0000-0000-000052000000}"/>
    <cellStyle name="Normal 3" xfId="83" xr:uid="{00000000-0005-0000-0000-000053000000}"/>
    <cellStyle name="Normal 3 2" xfId="84" xr:uid="{00000000-0005-0000-0000-000054000000}"/>
    <cellStyle name="Normal 4" xfId="85" xr:uid="{00000000-0005-0000-0000-000055000000}"/>
    <cellStyle name="Normal 5" xfId="86" xr:uid="{00000000-0005-0000-0000-000056000000}"/>
    <cellStyle name="Normal 5 2" xfId="87" xr:uid="{00000000-0005-0000-0000-000057000000}"/>
    <cellStyle name="Normal 5 2 2" xfId="88" xr:uid="{00000000-0005-0000-0000-000058000000}"/>
    <cellStyle name="Normal 5 3" xfId="89" xr:uid="{00000000-0005-0000-0000-000059000000}"/>
    <cellStyle name="Normal 6" xfId="90" xr:uid="{00000000-0005-0000-0000-00005A000000}"/>
    <cellStyle name="Normal 7" xfId="91" xr:uid="{00000000-0005-0000-0000-00005B000000}"/>
    <cellStyle name="Porcentaje" xfId="107" builtinId="5"/>
    <cellStyle name="Porcentaje 2" xfId="92" xr:uid="{00000000-0005-0000-0000-00005C000000}"/>
    <cellStyle name="Porcentual 2" xfId="93" xr:uid="{00000000-0005-0000-0000-00005D000000}"/>
    <cellStyle name="Porcentual 2 2" xfId="94" xr:uid="{00000000-0005-0000-0000-00005E000000}"/>
    <cellStyle name="Porcentual 2 2 2" xfId="95" xr:uid="{00000000-0005-0000-0000-00005F000000}"/>
    <cellStyle name="Porcentual 2 2 2 2" xfId="96" xr:uid="{00000000-0005-0000-0000-000060000000}"/>
    <cellStyle name="Porcentual 3" xfId="97" xr:uid="{00000000-0005-0000-0000-000061000000}"/>
    <cellStyle name="Porcentual 3 2" xfId="98" xr:uid="{00000000-0005-0000-0000-000062000000}"/>
    <cellStyle name="Porcentual 3 3" xfId="99" xr:uid="{00000000-0005-0000-0000-000063000000}"/>
    <cellStyle name="Porcentual 4" xfId="100" xr:uid="{00000000-0005-0000-0000-000064000000}"/>
    <cellStyle name="Porcentual 4 2" xfId="101" xr:uid="{00000000-0005-0000-0000-000065000000}"/>
    <cellStyle name="Porcentual 5" xfId="102" xr:uid="{00000000-0005-0000-0000-000066000000}"/>
    <cellStyle name="Porcentual 6" xfId="103" xr:uid="{00000000-0005-0000-0000-000067000000}"/>
    <cellStyle name="Porcentual 6 2" xfId="104" xr:uid="{00000000-0005-0000-0000-000068000000}"/>
    <cellStyle name="Título de hoja" xfId="105" xr:uid="{00000000-0005-0000-0000-000069000000}"/>
  </cellStyles>
  <dxfs count="4">
    <dxf>
      <fill>
        <patternFill>
          <bgColor rgb="FFC00000"/>
        </patternFill>
      </fill>
    </dxf>
    <dxf>
      <fill>
        <patternFill>
          <bgColor rgb="FF92D050"/>
        </patternFill>
      </fill>
    </dxf>
    <dxf>
      <fill>
        <patternFill>
          <bgColor rgb="FFC0000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neDrive%20-%20Universidad%20Libre\Presupuesto%202020\Ppto%202020%20-%20Ing%20Comercial.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OTAL"/>
      <sheetName val="INGRESOS"/>
      <sheetName val="GASTOS MAS INVERSIONES"/>
      <sheetName val="Listas"/>
      <sheetName val="PUC"/>
      <sheetName val="Total Presupuesto"/>
      <sheetName val="Informe de compatibilidad"/>
    </sheetNames>
    <sheetDataSet>
      <sheetData sheetId="0"/>
      <sheetData sheetId="1"/>
      <sheetData sheetId="2"/>
      <sheetData sheetId="3"/>
      <sheetData sheetId="4"/>
      <sheetData sheetId="5"/>
      <sheetData sheetId="6"/>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48"/>
  <sheetViews>
    <sheetView topLeftCell="A13" workbookViewId="0">
      <selection activeCell="G36" sqref="G36"/>
    </sheetView>
  </sheetViews>
  <sheetFormatPr baseColWidth="10" defaultRowHeight="12.75"/>
  <cols>
    <col min="1" max="1" width="3.140625" style="205" customWidth="1"/>
    <col min="2" max="2" width="34.5703125" style="205" customWidth="1"/>
    <col min="3" max="3" width="15.140625" style="205" customWidth="1"/>
    <col min="4" max="4" width="23.42578125" style="205" customWidth="1"/>
    <col min="5" max="5" width="7" style="205" customWidth="1"/>
    <col min="6" max="6" width="31.5703125" style="205" customWidth="1"/>
    <col min="7" max="16384" width="11.42578125" style="205"/>
  </cols>
  <sheetData>
    <row r="1" spans="1:10" s="1" customFormat="1" ht="20.25" customHeight="1">
      <c r="A1" s="196"/>
      <c r="B1" s="556"/>
      <c r="C1" s="557"/>
      <c r="D1" s="557"/>
      <c r="E1" s="557"/>
      <c r="F1" s="557"/>
      <c r="G1" s="3"/>
    </row>
    <row r="2" spans="1:10" s="1" customFormat="1" ht="23.25" customHeight="1">
      <c r="A2" s="197"/>
      <c r="B2" s="558" t="s">
        <v>4</v>
      </c>
      <c r="C2" s="559"/>
      <c r="D2" s="559"/>
      <c r="E2" s="559"/>
      <c r="F2" s="559"/>
      <c r="G2" s="3"/>
    </row>
    <row r="3" spans="1:10" s="1" customFormat="1" ht="23.25" customHeight="1">
      <c r="A3" s="197"/>
      <c r="B3" s="560" t="s">
        <v>279</v>
      </c>
      <c r="C3" s="561"/>
      <c r="D3" s="561"/>
      <c r="E3" s="561"/>
      <c r="F3" s="561"/>
      <c r="G3" s="3"/>
    </row>
    <row r="4" spans="1:10" s="1" customFormat="1" ht="10.5" customHeight="1">
      <c r="A4" s="34"/>
      <c r="B4" s="562"/>
      <c r="C4" s="563"/>
      <c r="D4" s="563"/>
      <c r="E4" s="563"/>
      <c r="F4" s="563"/>
      <c r="G4" s="3"/>
    </row>
    <row r="5" spans="1:10" s="1" customFormat="1" ht="10.5" customHeight="1" thickBot="1">
      <c r="A5" s="197"/>
      <c r="B5" s="564"/>
      <c r="C5" s="557"/>
      <c r="D5" s="557"/>
      <c r="E5" s="557"/>
      <c r="F5" s="557"/>
      <c r="G5" s="3"/>
    </row>
    <row r="6" spans="1:10" s="71" customFormat="1" ht="25.5" customHeight="1" thickBot="1">
      <c r="B6" s="198" t="s">
        <v>12</v>
      </c>
      <c r="C6" s="533" t="s">
        <v>280</v>
      </c>
      <c r="D6" s="534"/>
      <c r="E6" s="199" t="s">
        <v>111</v>
      </c>
      <c r="F6" s="265" t="s">
        <v>281</v>
      </c>
    </row>
    <row r="7" spans="1:10" s="203" customFormat="1" ht="13.5" thickBot="1">
      <c r="A7" s="200"/>
      <c r="B7" s="201"/>
      <c r="C7" s="201"/>
      <c r="D7" s="201"/>
      <c r="E7" s="202"/>
      <c r="F7" s="202"/>
      <c r="G7" s="200"/>
    </row>
    <row r="8" spans="1:10" s="203" customFormat="1" ht="16.5" customHeight="1" thickBot="1">
      <c r="B8" s="535" t="s">
        <v>1</v>
      </c>
      <c r="C8" s="536"/>
      <c r="D8" s="536"/>
      <c r="E8" s="536"/>
      <c r="F8" s="537"/>
    </row>
    <row r="9" spans="1:10" s="203" customFormat="1" ht="16.5" customHeight="1" thickBot="1">
      <c r="B9" s="204" t="s">
        <v>141</v>
      </c>
      <c r="C9" s="535" t="str">
        <f>+VLOOKUP(B12,Listas!$B$7:$D$98,3,FALSE)</f>
        <v>FACULTAD DE DERECHO Y CIENCIAS POLITICAS</v>
      </c>
      <c r="D9" s="536"/>
      <c r="E9" s="536"/>
      <c r="F9" s="537"/>
    </row>
    <row r="10" spans="1:10" s="203" customFormat="1" ht="13.5" thickBot="1">
      <c r="B10" s="204" t="s">
        <v>8</v>
      </c>
      <c r="C10" s="204"/>
      <c r="D10" s="535" t="s">
        <v>9</v>
      </c>
      <c r="E10" s="537"/>
      <c r="F10" s="204"/>
    </row>
    <row r="11" spans="1:10" s="203" customFormat="1" ht="16.5" customHeight="1" thickBot="1">
      <c r="B11" s="535" t="s">
        <v>202</v>
      </c>
      <c r="C11" s="536"/>
      <c r="D11" s="537"/>
      <c r="E11" s="535" t="s">
        <v>7</v>
      </c>
      <c r="F11" s="537"/>
    </row>
    <row r="12" spans="1:10" s="71" customFormat="1" ht="16.5" customHeight="1">
      <c r="B12" s="540" t="s">
        <v>299</v>
      </c>
      <c r="C12" s="541"/>
      <c r="D12" s="542"/>
      <c r="E12" s="552" t="str">
        <f>+VLOOKUP($B$12,Listas!$B$8:$C$98,2,FALSE)</f>
        <v>03010102</v>
      </c>
      <c r="F12" s="553"/>
    </row>
    <row r="13" spans="1:10" s="71" customFormat="1" ht="16.5" customHeight="1" thickBot="1">
      <c r="B13" s="543"/>
      <c r="C13" s="544"/>
      <c r="D13" s="545"/>
      <c r="E13" s="554"/>
      <c r="F13" s="555"/>
      <c r="G13" s="205"/>
      <c r="H13" s="205"/>
      <c r="I13" s="205"/>
      <c r="J13" s="205"/>
    </row>
    <row r="14" spans="1:10" ht="13.5" thickBot="1">
      <c r="B14" s="206"/>
      <c r="C14" s="207"/>
      <c r="D14" s="208"/>
      <c r="E14" s="207"/>
      <c r="F14" s="209"/>
    </row>
    <row r="15" spans="1:10" s="210" customFormat="1" ht="13.5" thickBot="1">
      <c r="B15" s="549" t="s">
        <v>140</v>
      </c>
      <c r="C15" s="550"/>
      <c r="D15" s="550"/>
      <c r="E15" s="551"/>
      <c r="F15" s="211" t="s">
        <v>247</v>
      </c>
      <c r="G15" s="205"/>
      <c r="H15" s="205"/>
      <c r="I15" s="205"/>
      <c r="J15" s="205"/>
    </row>
    <row r="16" spans="1:10" ht="13.5" thickBot="1">
      <c r="B16" s="212" t="s">
        <v>137</v>
      </c>
      <c r="C16" s="213"/>
      <c r="D16" s="214"/>
      <c r="E16" s="215"/>
      <c r="F16" s="216"/>
    </row>
    <row r="17" spans="2:7">
      <c r="B17" s="217" t="s">
        <v>133</v>
      </c>
      <c r="C17" s="218"/>
      <c r="D17" s="219"/>
      <c r="E17" s="220"/>
      <c r="F17" s="299">
        <f>+INGRESOS!L27</f>
        <v>2008388000</v>
      </c>
    </row>
    <row r="18" spans="2:7">
      <c r="B18" s="221" t="s">
        <v>134</v>
      </c>
      <c r="C18" s="222"/>
      <c r="D18" s="223"/>
      <c r="E18" s="224"/>
      <c r="F18" s="300">
        <f>+INGRESOS!L28</f>
        <v>12000000</v>
      </c>
    </row>
    <row r="19" spans="2:7" hidden="1">
      <c r="B19" s="226" t="s">
        <v>135</v>
      </c>
      <c r="C19" s="227"/>
      <c r="D19" s="228"/>
      <c r="E19" s="225"/>
      <c r="F19" s="225"/>
    </row>
    <row r="20" spans="2:7" hidden="1">
      <c r="B20" s="226" t="s">
        <v>136</v>
      </c>
      <c r="C20" s="227"/>
      <c r="D20" s="228"/>
      <c r="E20" s="225"/>
      <c r="F20" s="225"/>
    </row>
    <row r="21" spans="2:7" hidden="1">
      <c r="B21" s="221" t="s">
        <v>266</v>
      </c>
      <c r="C21" s="227"/>
      <c r="D21" s="228"/>
      <c r="E21" s="225"/>
      <c r="F21" s="225"/>
    </row>
    <row r="22" spans="2:7">
      <c r="B22" s="229" t="s">
        <v>131</v>
      </c>
      <c r="C22" s="227"/>
      <c r="D22" s="228"/>
      <c r="E22" s="225"/>
      <c r="F22" s="300">
        <f>-INGRESOS!L67</f>
        <v>-74730000</v>
      </c>
    </row>
    <row r="23" spans="2:7">
      <c r="B23" s="221" t="s">
        <v>51</v>
      </c>
      <c r="C23" s="227"/>
      <c r="D23" s="228"/>
      <c r="E23" s="225"/>
      <c r="F23" s="300">
        <f>-INGRESOS!L79</f>
        <v>-16434000</v>
      </c>
    </row>
    <row r="24" spans="2:7">
      <c r="B24" s="221" t="s">
        <v>132</v>
      </c>
      <c r="C24" s="227"/>
      <c r="D24" s="228"/>
      <c r="E24" s="225"/>
      <c r="F24" s="300">
        <f>+INGRESOS!L80</f>
        <v>0</v>
      </c>
    </row>
    <row r="25" spans="2:7">
      <c r="B25" s="230" t="s">
        <v>270</v>
      </c>
      <c r="C25" s="227"/>
      <c r="D25" s="228"/>
      <c r="E25" s="225"/>
      <c r="F25" s="300">
        <f>+INGRESOS!F106</f>
        <v>256290000</v>
      </c>
    </row>
    <row r="26" spans="2:7" ht="13.5" thickBot="1">
      <c r="B26" s="231" t="s">
        <v>269</v>
      </c>
      <c r="C26" s="232"/>
      <c r="D26" s="233"/>
      <c r="E26" s="234"/>
      <c r="F26" s="302">
        <f>+INGRESOS!L106</f>
        <v>0</v>
      </c>
    </row>
    <row r="27" spans="2:7" ht="13.5" thickBot="1">
      <c r="B27" s="235" t="s">
        <v>130</v>
      </c>
      <c r="C27" s="236"/>
      <c r="D27" s="236"/>
      <c r="E27" s="237"/>
      <c r="F27" s="303">
        <f>+SUM(F17:F26)</f>
        <v>2185514000</v>
      </c>
      <c r="G27" s="304">
        <f>+F27-INGRESOS!L108</f>
        <v>0</v>
      </c>
    </row>
    <row r="28" spans="2:7" ht="13.5" thickBot="1">
      <c r="B28" s="212"/>
      <c r="C28" s="213"/>
      <c r="D28" s="214"/>
      <c r="E28" s="215"/>
      <c r="F28" s="216"/>
    </row>
    <row r="29" spans="2:7">
      <c r="B29" s="546" t="s">
        <v>267</v>
      </c>
      <c r="C29" s="547"/>
      <c r="D29" s="547"/>
      <c r="E29" s="548"/>
      <c r="F29" s="306">
        <v>1135601000</v>
      </c>
      <c r="G29" s="468"/>
    </row>
    <row r="30" spans="2:7">
      <c r="B30" s="241" t="s">
        <v>268</v>
      </c>
      <c r="C30" s="238"/>
      <c r="D30" s="239"/>
      <c r="E30" s="305">
        <v>0.22</v>
      </c>
      <c r="F30" s="306">
        <f>+MROUND(F27*E30,1000)</f>
        <v>480813000</v>
      </c>
    </row>
    <row r="31" spans="2:7">
      <c r="B31" s="241" t="s">
        <v>277</v>
      </c>
      <c r="C31" s="238"/>
      <c r="D31" s="239"/>
      <c r="E31" s="240"/>
      <c r="F31" s="306">
        <f>+'Total Presupuesto'!M15+'Total Presupuesto'!M16</f>
        <v>54433000</v>
      </c>
    </row>
    <row r="32" spans="2:7" ht="13.5" thickBot="1">
      <c r="B32" s="241" t="s">
        <v>278</v>
      </c>
      <c r="C32" s="238"/>
      <c r="D32" s="239"/>
      <c r="E32" s="240"/>
      <c r="F32" s="306">
        <f>+'GASTOS MAS INVERSIONES'!N427-TOTAL!F31</f>
        <v>269111000</v>
      </c>
    </row>
    <row r="33" spans="2:6" ht="13.5" thickBot="1">
      <c r="B33" s="235" t="s">
        <v>139</v>
      </c>
      <c r="C33" s="236"/>
      <c r="D33" s="236"/>
      <c r="E33" s="237"/>
      <c r="F33" s="307">
        <f>+SUM(F29:F32)</f>
        <v>1939958000</v>
      </c>
    </row>
    <row r="34" spans="2:6" ht="13.5" thickBot="1">
      <c r="B34" s="246"/>
      <c r="C34" s="242"/>
      <c r="D34" s="243"/>
      <c r="E34" s="244"/>
      <c r="F34" s="245"/>
    </row>
    <row r="35" spans="2:6" ht="24" thickBot="1">
      <c r="B35" s="247" t="s">
        <v>138</v>
      </c>
      <c r="C35" s="248"/>
      <c r="D35" s="249"/>
      <c r="E35" s="250"/>
      <c r="F35" s="452">
        <f>+F27-F33</f>
        <v>245556000</v>
      </c>
    </row>
    <row r="37" spans="2:6" ht="13.5" thickBot="1"/>
    <row r="38" spans="2:6" ht="9" customHeight="1" thickBot="1">
      <c r="B38" s="251"/>
      <c r="C38" s="252"/>
      <c r="D38" s="253"/>
      <c r="E38" s="251"/>
      <c r="F38" s="254"/>
    </row>
    <row r="39" spans="2:6" s="255" customFormat="1">
      <c r="B39" s="256" t="s">
        <v>10</v>
      </c>
      <c r="C39" s="538" t="s">
        <v>128</v>
      </c>
      <c r="D39" s="539"/>
      <c r="E39" s="538" t="s">
        <v>129</v>
      </c>
      <c r="F39" s="539"/>
    </row>
    <row r="40" spans="2:6">
      <c r="B40" s="528" t="s">
        <v>1374</v>
      </c>
      <c r="C40" s="528" t="s">
        <v>1374</v>
      </c>
      <c r="D40" s="258"/>
      <c r="E40" s="257" t="s">
        <v>231</v>
      </c>
      <c r="F40" s="259" t="s">
        <v>439</v>
      </c>
    </row>
    <row r="41" spans="2:6">
      <c r="B41" s="529" t="s">
        <v>1375</v>
      </c>
      <c r="C41" s="529" t="s">
        <v>1375</v>
      </c>
      <c r="D41" s="258"/>
      <c r="E41" s="260" t="s">
        <v>242</v>
      </c>
      <c r="F41" s="259" t="s">
        <v>440</v>
      </c>
    </row>
    <row r="42" spans="2:6">
      <c r="B42" s="529" t="s">
        <v>1376</v>
      </c>
      <c r="C42" s="529" t="s">
        <v>1376</v>
      </c>
      <c r="D42" s="258"/>
      <c r="E42" s="260" t="s">
        <v>233</v>
      </c>
      <c r="F42" s="530">
        <v>43699</v>
      </c>
    </row>
    <row r="43" spans="2:6" ht="10.5" customHeight="1" thickBot="1">
      <c r="B43" s="261"/>
      <c r="C43" s="262"/>
      <c r="D43" s="263"/>
      <c r="E43" s="261"/>
      <c r="F43" s="264"/>
    </row>
    <row r="48" spans="2:6">
      <c r="B48" s="205" t="str">
        <f>UPPER(B43)</f>
        <v/>
      </c>
    </row>
  </sheetData>
  <mergeCells count="17">
    <mergeCell ref="B1:F1"/>
    <mergeCell ref="B2:F2"/>
    <mergeCell ref="B3:F3"/>
    <mergeCell ref="B4:F4"/>
    <mergeCell ref="B5:F5"/>
    <mergeCell ref="C6:D6"/>
    <mergeCell ref="C9:F9"/>
    <mergeCell ref="D10:E10"/>
    <mergeCell ref="E39:F39"/>
    <mergeCell ref="C39:D39"/>
    <mergeCell ref="B8:F8"/>
    <mergeCell ref="B12:D13"/>
    <mergeCell ref="B29:E29"/>
    <mergeCell ref="B15:E15"/>
    <mergeCell ref="B11:D11"/>
    <mergeCell ref="E11:F11"/>
    <mergeCell ref="E12:F13"/>
  </mergeCells>
  <printOptions horizontalCentered="1"/>
  <pageMargins left="0.11811023622047245" right="0.11811023622047245" top="0.74803149606299213" bottom="0.74803149606299213" header="0.31496062992125984" footer="0.31496062992125984"/>
  <pageSetup scale="80"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0000000}">
          <x14:formula1>
            <xm:f>Listas!$B$8:$B$98</xm:f>
          </x14:formula1>
          <xm:sqref>B12:D13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120"/>
  <sheetViews>
    <sheetView zoomScale="80" zoomScaleNormal="80" workbookViewId="0">
      <selection activeCell="G115" sqref="G115"/>
    </sheetView>
  </sheetViews>
  <sheetFormatPr baseColWidth="10" defaultRowHeight="12.75"/>
  <cols>
    <col min="1" max="1" width="37.28515625" style="77" customWidth="1"/>
    <col min="2" max="2" width="17.85546875" style="77" customWidth="1"/>
    <col min="3" max="3" width="14.28515625" style="77" customWidth="1"/>
    <col min="4" max="4" width="17.140625" style="77" customWidth="1"/>
    <col min="5" max="5" width="20.140625" style="77" customWidth="1"/>
    <col min="6" max="6" width="16.42578125" style="77" bestFit="1" customWidth="1"/>
    <col min="7" max="7" width="15" style="77" customWidth="1"/>
    <col min="8" max="8" width="16.42578125" style="77" customWidth="1"/>
    <col min="9" max="9" width="15" style="77" customWidth="1"/>
    <col min="10" max="10" width="14.42578125" style="77" customWidth="1"/>
    <col min="11" max="11" width="16.42578125" style="77" customWidth="1"/>
    <col min="12" max="12" width="18" style="77" customWidth="1"/>
    <col min="13" max="16384" width="11.42578125" style="77"/>
  </cols>
  <sheetData>
    <row r="1" spans="1:13" s="54" customFormat="1" ht="20.25" customHeight="1">
      <c r="A1" s="593"/>
      <c r="B1" s="594"/>
      <c r="C1" s="594"/>
      <c r="D1" s="594"/>
      <c r="E1" s="594"/>
      <c r="F1" s="594"/>
      <c r="G1" s="594"/>
      <c r="H1" s="594"/>
      <c r="I1" s="594"/>
      <c r="J1" s="594"/>
      <c r="K1" s="594"/>
      <c r="L1" s="594"/>
      <c r="M1" s="55"/>
    </row>
    <row r="2" spans="1:13" s="54" customFormat="1" ht="23.25" customHeight="1">
      <c r="A2" s="600" t="s">
        <v>4</v>
      </c>
      <c r="B2" s="601"/>
      <c r="C2" s="601"/>
      <c r="D2" s="601"/>
      <c r="E2" s="601"/>
      <c r="F2" s="601"/>
      <c r="G2" s="601"/>
      <c r="H2" s="601"/>
      <c r="I2" s="601"/>
      <c r="J2" s="601"/>
      <c r="K2" s="601"/>
      <c r="L2" s="601"/>
      <c r="M2" s="55"/>
    </row>
    <row r="3" spans="1:13" s="54" customFormat="1" ht="23.25" customHeight="1">
      <c r="A3" s="602" t="s">
        <v>110</v>
      </c>
      <c r="B3" s="603"/>
      <c r="C3" s="603"/>
      <c r="D3" s="603"/>
      <c r="E3" s="603"/>
      <c r="F3" s="603"/>
      <c r="G3" s="603"/>
      <c r="H3" s="603"/>
      <c r="I3" s="603"/>
      <c r="J3" s="603"/>
      <c r="K3" s="603"/>
      <c r="L3" s="603"/>
      <c r="M3" s="55"/>
    </row>
    <row r="4" spans="1:13" s="54" customFormat="1" ht="10.5" customHeight="1">
      <c r="A4" s="597"/>
      <c r="B4" s="598"/>
      <c r="C4" s="598"/>
      <c r="D4" s="598"/>
      <c r="E4" s="598"/>
      <c r="F4" s="598"/>
      <c r="G4" s="598"/>
      <c r="H4" s="598"/>
      <c r="I4" s="598"/>
      <c r="J4" s="598"/>
      <c r="K4" s="598"/>
      <c r="L4" s="598"/>
      <c r="M4" s="55"/>
    </row>
    <row r="5" spans="1:13" s="54" customFormat="1" ht="10.5" customHeight="1" thickBot="1">
      <c r="A5" s="599"/>
      <c r="B5" s="594"/>
      <c r="C5" s="594"/>
      <c r="D5" s="594"/>
      <c r="E5" s="594"/>
      <c r="F5" s="594"/>
      <c r="G5" s="594"/>
      <c r="H5" s="594"/>
      <c r="I5" s="594"/>
      <c r="J5" s="594"/>
      <c r="K5" s="594"/>
      <c r="L5" s="594"/>
      <c r="M5" s="55"/>
    </row>
    <row r="6" spans="1:13" s="7" customFormat="1" ht="25.5" customHeight="1" thickBot="1">
      <c r="A6" s="58" t="s">
        <v>12</v>
      </c>
      <c r="B6" s="573" t="str">
        <f>+TOTAL!C6</f>
        <v>PEREIRA</v>
      </c>
      <c r="C6" s="574"/>
      <c r="D6" s="574"/>
      <c r="E6" s="574"/>
      <c r="F6" s="574"/>
      <c r="G6" s="574"/>
      <c r="H6" s="574"/>
      <c r="I6" s="575"/>
      <c r="J6" s="58" t="s">
        <v>111</v>
      </c>
      <c r="K6" s="610" t="str">
        <f>+TOTAL!F6</f>
        <v>2020</v>
      </c>
      <c r="L6" s="611"/>
    </row>
    <row r="7" spans="1:13" s="70" customFormat="1" ht="13.5" thickBot="1">
      <c r="A7" s="67"/>
      <c r="B7" s="67"/>
      <c r="C7" s="67"/>
      <c r="D7" s="68"/>
      <c r="E7" s="67"/>
      <c r="F7" s="67"/>
      <c r="G7" s="69"/>
      <c r="H7" s="69"/>
      <c r="I7" s="67"/>
      <c r="J7" s="69"/>
      <c r="K7" s="69"/>
      <c r="L7" s="69"/>
    </row>
    <row r="8" spans="1:13" s="71" customFormat="1" ht="16.5" customHeight="1" thickBot="1">
      <c r="A8" s="573" t="s">
        <v>1</v>
      </c>
      <c r="B8" s="574"/>
      <c r="C8" s="574"/>
      <c r="D8" s="574"/>
      <c r="E8" s="574"/>
      <c r="F8" s="574"/>
      <c r="G8" s="574"/>
      <c r="H8" s="574"/>
      <c r="I8" s="574"/>
      <c r="J8" s="574"/>
      <c r="K8" s="574"/>
      <c r="L8" s="575"/>
    </row>
    <row r="9" spans="1:13" s="71" customFormat="1" ht="16.5" customHeight="1" thickBot="1">
      <c r="A9" s="573" t="s">
        <v>2</v>
      </c>
      <c r="B9" s="574"/>
      <c r="C9" s="574"/>
      <c r="D9" s="574"/>
      <c r="E9" s="574"/>
      <c r="F9" s="574"/>
      <c r="G9" s="574"/>
      <c r="H9" s="574"/>
      <c r="I9" s="575"/>
      <c r="J9" s="573" t="s">
        <v>13</v>
      </c>
      <c r="K9" s="574"/>
      <c r="L9" s="575"/>
    </row>
    <row r="10" spans="1:13" s="71" customFormat="1" ht="15.75" customHeight="1">
      <c r="A10" s="576" t="str">
        <f>+TOTAL!B12</f>
        <v>Derecho Calendario B</v>
      </c>
      <c r="B10" s="577"/>
      <c r="C10" s="577"/>
      <c r="D10" s="577"/>
      <c r="E10" s="577"/>
      <c r="F10" s="577"/>
      <c r="G10" s="577"/>
      <c r="H10" s="577"/>
      <c r="I10" s="578"/>
      <c r="J10" s="576" t="str">
        <f>+TOTAL!E12</f>
        <v>03010102</v>
      </c>
      <c r="K10" s="577"/>
      <c r="L10" s="578"/>
    </row>
    <row r="11" spans="1:13" s="71" customFormat="1" ht="15.75" customHeight="1" thickBot="1">
      <c r="A11" s="579"/>
      <c r="B11" s="580"/>
      <c r="C11" s="580"/>
      <c r="D11" s="580"/>
      <c r="E11" s="580"/>
      <c r="F11" s="580"/>
      <c r="G11" s="580"/>
      <c r="H11" s="580"/>
      <c r="I11" s="581"/>
      <c r="J11" s="579"/>
      <c r="K11" s="580"/>
      <c r="L11" s="581"/>
    </row>
    <row r="12" spans="1:13" s="71" customFormat="1" ht="14.25" customHeight="1" thickBot="1">
      <c r="A12" s="72"/>
      <c r="B12" s="438">
        <v>0.03</v>
      </c>
      <c r="C12" s="73"/>
      <c r="D12" s="74"/>
      <c r="E12" s="74"/>
      <c r="F12" s="75"/>
      <c r="G12" s="75"/>
      <c r="H12" s="75"/>
      <c r="I12" s="75"/>
      <c r="J12" s="75"/>
      <c r="K12" s="75"/>
      <c r="L12" s="76"/>
    </row>
    <row r="13" spans="1:13" ht="35.25" customHeight="1" thickBot="1">
      <c r="A13" s="604" t="s">
        <v>81</v>
      </c>
      <c r="B13" s="605"/>
      <c r="C13" s="605"/>
      <c r="D13" s="605"/>
      <c r="E13" s="605"/>
      <c r="F13" s="605"/>
      <c r="G13" s="605"/>
      <c r="H13" s="605"/>
      <c r="I13" s="605"/>
      <c r="J13" s="605"/>
      <c r="K13" s="605"/>
      <c r="L13" s="606"/>
    </row>
    <row r="14" spans="1:13" ht="31.5" customHeight="1">
      <c r="A14" s="617" t="s">
        <v>79</v>
      </c>
      <c r="B14" s="572" t="s">
        <v>80</v>
      </c>
      <c r="C14" s="572"/>
      <c r="D14" s="572"/>
      <c r="E14" s="572" t="s">
        <v>78</v>
      </c>
      <c r="F14" s="572"/>
      <c r="G14" s="572"/>
      <c r="H14" s="572" t="s">
        <v>84</v>
      </c>
      <c r="I14" s="572"/>
      <c r="J14" s="569" t="s">
        <v>90</v>
      </c>
      <c r="K14" s="595"/>
      <c r="L14" s="596"/>
    </row>
    <row r="15" spans="1:13" s="81" customFormat="1" ht="16.5" customHeight="1" thickBot="1">
      <c r="A15" s="592"/>
      <c r="B15" s="78" t="s">
        <v>14</v>
      </c>
      <c r="C15" s="78" t="s">
        <v>15</v>
      </c>
      <c r="D15" s="78" t="s">
        <v>16</v>
      </c>
      <c r="E15" s="78" t="s">
        <v>14</v>
      </c>
      <c r="F15" s="78" t="s">
        <v>15</v>
      </c>
      <c r="G15" s="78" t="s">
        <v>16</v>
      </c>
      <c r="H15" s="78" t="s">
        <v>14</v>
      </c>
      <c r="I15" s="78" t="s">
        <v>15</v>
      </c>
      <c r="J15" s="79" t="s">
        <v>14</v>
      </c>
      <c r="K15" s="78" t="s">
        <v>15</v>
      </c>
      <c r="L15" s="80" t="s">
        <v>16</v>
      </c>
    </row>
    <row r="16" spans="1:13">
      <c r="A16" s="82" t="s">
        <v>21</v>
      </c>
      <c r="B16" s="83"/>
      <c r="C16" s="83">
        <v>46</v>
      </c>
      <c r="D16" s="83">
        <f>+B16+C16</f>
        <v>46</v>
      </c>
      <c r="E16" s="83"/>
      <c r="F16" s="83">
        <v>50</v>
      </c>
      <c r="G16" s="83">
        <f>+E16+F16</f>
        <v>50</v>
      </c>
      <c r="H16" s="83"/>
      <c r="I16" s="83">
        <v>7500000</v>
      </c>
      <c r="J16" s="84">
        <f t="shared" ref="J16:K20" si="0">+E16*H16</f>
        <v>0</v>
      </c>
      <c r="K16" s="85">
        <f t="shared" si="0"/>
        <v>375000000</v>
      </c>
      <c r="L16" s="86">
        <f>+J16+K16</f>
        <v>375000000</v>
      </c>
    </row>
    <row r="17" spans="1:12">
      <c r="A17" s="87" t="s">
        <v>22</v>
      </c>
      <c r="B17" s="83"/>
      <c r="C17" s="83">
        <v>62</v>
      </c>
      <c r="D17" s="83">
        <f>+B17+C17</f>
        <v>62</v>
      </c>
      <c r="E17" s="89">
        <f t="shared" ref="E17:F20" si="1">+B16-ROUND(B16*$B$12,0)</f>
        <v>0</v>
      </c>
      <c r="F17" s="89">
        <f t="shared" si="1"/>
        <v>45</v>
      </c>
      <c r="G17" s="83">
        <f>+E17+F17</f>
        <v>45</v>
      </c>
      <c r="H17" s="83"/>
      <c r="I17" s="83">
        <v>7500000</v>
      </c>
      <c r="J17" s="84">
        <f t="shared" si="0"/>
        <v>0</v>
      </c>
      <c r="K17" s="83">
        <f t="shared" si="0"/>
        <v>337500000</v>
      </c>
      <c r="L17" s="86">
        <f t="shared" ref="L17:L20" si="2">+J17+K17</f>
        <v>337500000</v>
      </c>
    </row>
    <row r="18" spans="1:12">
      <c r="A18" s="87" t="s">
        <v>23</v>
      </c>
      <c r="B18" s="83"/>
      <c r="C18" s="83">
        <v>47</v>
      </c>
      <c r="D18" s="83">
        <f>+B18+C18</f>
        <v>47</v>
      </c>
      <c r="E18" s="89">
        <f t="shared" si="1"/>
        <v>0</v>
      </c>
      <c r="F18" s="89">
        <f t="shared" si="1"/>
        <v>60</v>
      </c>
      <c r="G18" s="83">
        <f>+E18+F18</f>
        <v>60</v>
      </c>
      <c r="H18" s="83"/>
      <c r="I18" s="83">
        <v>7500000</v>
      </c>
      <c r="J18" s="84">
        <f t="shared" si="0"/>
        <v>0</v>
      </c>
      <c r="K18" s="83">
        <f t="shared" si="0"/>
        <v>450000000</v>
      </c>
      <c r="L18" s="86">
        <f t="shared" si="2"/>
        <v>450000000</v>
      </c>
    </row>
    <row r="19" spans="1:12">
      <c r="A19" s="87" t="s">
        <v>24</v>
      </c>
      <c r="B19" s="83"/>
      <c r="C19" s="83">
        <v>70</v>
      </c>
      <c r="D19" s="83">
        <f>+B19+C19</f>
        <v>70</v>
      </c>
      <c r="E19" s="89">
        <f t="shared" si="1"/>
        <v>0</v>
      </c>
      <c r="F19" s="89">
        <f t="shared" si="1"/>
        <v>46</v>
      </c>
      <c r="G19" s="83">
        <f>+E19+F19</f>
        <v>46</v>
      </c>
      <c r="H19" s="83"/>
      <c r="I19" s="83">
        <v>7500000</v>
      </c>
      <c r="J19" s="84">
        <f t="shared" si="0"/>
        <v>0</v>
      </c>
      <c r="K19" s="83">
        <f t="shared" si="0"/>
        <v>345000000</v>
      </c>
      <c r="L19" s="86">
        <f t="shared" si="2"/>
        <v>345000000</v>
      </c>
    </row>
    <row r="20" spans="1:12">
      <c r="A20" s="87" t="s">
        <v>25</v>
      </c>
      <c r="B20" s="83"/>
      <c r="C20" s="83">
        <v>54</v>
      </c>
      <c r="D20" s="83">
        <f>+B20+C20</f>
        <v>54</v>
      </c>
      <c r="E20" s="89">
        <f t="shared" si="1"/>
        <v>0</v>
      </c>
      <c r="F20" s="89">
        <f t="shared" si="1"/>
        <v>68</v>
      </c>
      <c r="G20" s="83">
        <f>+E20+F20</f>
        <v>68</v>
      </c>
      <c r="H20" s="83"/>
      <c r="I20" s="83">
        <v>7366000</v>
      </c>
      <c r="J20" s="84">
        <f t="shared" si="0"/>
        <v>0</v>
      </c>
      <c r="K20" s="83">
        <f t="shared" si="0"/>
        <v>500888000</v>
      </c>
      <c r="L20" s="86">
        <f t="shared" si="2"/>
        <v>500888000</v>
      </c>
    </row>
    <row r="21" spans="1:12">
      <c r="A21" s="87" t="s">
        <v>26</v>
      </c>
      <c r="B21" s="83"/>
      <c r="C21" s="83"/>
      <c r="D21" s="83"/>
      <c r="E21" s="89"/>
      <c r="F21" s="89"/>
      <c r="G21" s="83"/>
      <c r="H21" s="83"/>
      <c r="I21" s="83"/>
      <c r="J21" s="84"/>
      <c r="K21" s="83"/>
      <c r="L21" s="86"/>
    </row>
    <row r="22" spans="1:12">
      <c r="A22" s="87" t="s">
        <v>32</v>
      </c>
      <c r="B22" s="83"/>
      <c r="C22" s="83"/>
      <c r="D22" s="83"/>
      <c r="E22" s="89"/>
      <c r="F22" s="89"/>
      <c r="G22" s="83"/>
      <c r="H22" s="83"/>
      <c r="I22" s="83"/>
      <c r="J22" s="84"/>
      <c r="K22" s="83"/>
      <c r="L22" s="86"/>
    </row>
    <row r="23" spans="1:12">
      <c r="A23" s="87" t="s">
        <v>28</v>
      </c>
      <c r="B23" s="83"/>
      <c r="C23" s="83"/>
      <c r="D23" s="83"/>
      <c r="E23" s="89"/>
      <c r="F23" s="89"/>
      <c r="G23" s="83"/>
      <c r="H23" s="83"/>
      <c r="I23" s="83"/>
      <c r="J23" s="84"/>
      <c r="K23" s="83"/>
      <c r="L23" s="86"/>
    </row>
    <row r="24" spans="1:12">
      <c r="A24" s="87" t="s">
        <v>29</v>
      </c>
      <c r="B24" s="83"/>
      <c r="C24" s="83"/>
      <c r="D24" s="83"/>
      <c r="E24" s="89"/>
      <c r="F24" s="89"/>
      <c r="G24" s="83"/>
      <c r="H24" s="83"/>
      <c r="I24" s="83"/>
      <c r="J24" s="84"/>
      <c r="K24" s="83"/>
      <c r="L24" s="86"/>
    </row>
    <row r="25" spans="1:12">
      <c r="A25" s="87" t="s">
        <v>33</v>
      </c>
      <c r="B25" s="83"/>
      <c r="C25" s="83"/>
      <c r="D25" s="83"/>
      <c r="E25" s="89"/>
      <c r="F25" s="89"/>
      <c r="G25" s="83"/>
      <c r="H25" s="83"/>
      <c r="I25" s="83"/>
      <c r="J25" s="84"/>
      <c r="K25" s="83"/>
      <c r="L25" s="86"/>
    </row>
    <row r="26" spans="1:12" ht="13.5" thickBot="1">
      <c r="A26" s="90" t="s">
        <v>31</v>
      </c>
      <c r="B26" s="91"/>
      <c r="C26" s="91"/>
      <c r="D26" s="92"/>
      <c r="E26" s="91"/>
      <c r="F26" s="91"/>
      <c r="G26" s="92"/>
      <c r="H26" s="92"/>
      <c r="I26" s="91"/>
      <c r="J26" s="84"/>
      <c r="K26" s="437"/>
      <c r="L26" s="86"/>
    </row>
    <row r="27" spans="1:12" ht="13.5" thickBot="1">
      <c r="A27" s="93" t="s">
        <v>125</v>
      </c>
      <c r="B27" s="435">
        <f>+SUM(B16:B26)</f>
        <v>0</v>
      </c>
      <c r="C27" s="435">
        <f>+SUM(C16:C26)</f>
        <v>279</v>
      </c>
      <c r="D27" s="435">
        <f t="shared" ref="D27:G27" si="3">+SUM(D16:D26)</f>
        <v>279</v>
      </c>
      <c r="E27" s="435">
        <f t="shared" si="3"/>
        <v>0</v>
      </c>
      <c r="F27" s="435">
        <f>+SUM(F16:F26)</f>
        <v>269</v>
      </c>
      <c r="G27" s="435">
        <f t="shared" si="3"/>
        <v>269</v>
      </c>
      <c r="H27" s="94"/>
      <c r="I27" s="94"/>
      <c r="J27" s="94"/>
      <c r="K27" s="94"/>
      <c r="L27" s="96">
        <f>SUM(L16:L26)</f>
        <v>2008388000</v>
      </c>
    </row>
    <row r="28" spans="1:12" ht="15.75" customHeight="1" thickBot="1">
      <c r="A28" s="93" t="s">
        <v>126</v>
      </c>
      <c r="B28" s="94"/>
      <c r="C28" s="95"/>
      <c r="D28" s="94"/>
      <c r="E28" s="94"/>
      <c r="F28" s="94"/>
      <c r="G28" s="436">
        <f>+(G27-D27)/D27</f>
        <v>-3.5842293906810034E-2</v>
      </c>
      <c r="H28" s="94"/>
      <c r="I28" s="94"/>
      <c r="J28" s="94"/>
      <c r="K28" s="94"/>
      <c r="L28" s="96">
        <v>12000000</v>
      </c>
    </row>
    <row r="29" spans="1:12" ht="16.5" customHeight="1" thickBot="1">
      <c r="A29" s="97" t="s">
        <v>125</v>
      </c>
      <c r="B29" s="98"/>
      <c r="C29" s="99"/>
      <c r="D29" s="98"/>
      <c r="E29" s="98"/>
      <c r="F29" s="98"/>
      <c r="G29" s="98"/>
      <c r="H29" s="98"/>
      <c r="I29" s="98"/>
      <c r="J29" s="98"/>
      <c r="K29" s="98"/>
      <c r="L29" s="100">
        <f>+L27+L28</f>
        <v>2020388000</v>
      </c>
    </row>
    <row r="30" spans="1:12" ht="16.5" customHeight="1">
      <c r="A30" s="101"/>
      <c r="B30" s="102"/>
      <c r="C30" s="102"/>
      <c r="D30" s="102"/>
      <c r="E30" s="102"/>
      <c r="F30" s="102"/>
      <c r="G30" s="102"/>
      <c r="H30" s="102"/>
      <c r="I30" s="102"/>
      <c r="J30" s="102"/>
      <c r="K30" s="102"/>
      <c r="L30" s="102"/>
    </row>
    <row r="31" spans="1:12" ht="13.5" thickBot="1">
      <c r="A31" s="103"/>
      <c r="B31" s="103"/>
      <c r="C31" s="103"/>
      <c r="D31" s="103"/>
      <c r="E31" s="101"/>
      <c r="F31" s="102"/>
      <c r="G31" s="102"/>
      <c r="H31" s="102"/>
      <c r="I31" s="102"/>
      <c r="J31" s="102"/>
      <c r="K31" s="102"/>
      <c r="L31" s="102"/>
    </row>
    <row r="32" spans="1:12" ht="35.25" hidden="1" customHeight="1" thickBot="1">
      <c r="A32" s="604" t="s">
        <v>82</v>
      </c>
      <c r="B32" s="605"/>
      <c r="C32" s="605"/>
      <c r="D32" s="605"/>
      <c r="E32" s="605"/>
      <c r="F32" s="605"/>
      <c r="G32" s="605"/>
      <c r="H32" s="605"/>
      <c r="I32" s="605"/>
      <c r="J32" s="605"/>
      <c r="K32" s="605"/>
      <c r="L32" s="606"/>
    </row>
    <row r="33" spans="1:12" ht="16.5" hidden="1" customHeight="1">
      <c r="A33" s="591" t="s">
        <v>97</v>
      </c>
      <c r="B33" s="607" t="s">
        <v>17</v>
      </c>
      <c r="C33" s="607"/>
      <c r="D33" s="607"/>
      <c r="E33" s="569" t="s">
        <v>34</v>
      </c>
      <c r="F33" s="570"/>
      <c r="G33" s="570"/>
      <c r="H33" s="571"/>
      <c r="I33" s="607" t="s">
        <v>85</v>
      </c>
      <c r="J33" s="565" t="s">
        <v>87</v>
      </c>
      <c r="K33" s="565" t="s">
        <v>89</v>
      </c>
      <c r="L33" s="567" t="s">
        <v>83</v>
      </c>
    </row>
    <row r="34" spans="1:12" ht="45.75" hidden="1" customHeight="1" thickBot="1">
      <c r="A34" s="592"/>
      <c r="B34" s="78" t="s">
        <v>248</v>
      </c>
      <c r="C34" s="78" t="s">
        <v>249</v>
      </c>
      <c r="D34" s="78" t="s">
        <v>91</v>
      </c>
      <c r="E34" s="78" t="s">
        <v>248</v>
      </c>
      <c r="F34" s="78" t="s">
        <v>249</v>
      </c>
      <c r="G34" s="78" t="s">
        <v>250</v>
      </c>
      <c r="H34" s="78" t="s">
        <v>86</v>
      </c>
      <c r="I34" s="608"/>
      <c r="J34" s="566"/>
      <c r="K34" s="566"/>
      <c r="L34" s="568"/>
    </row>
    <row r="35" spans="1:12" hidden="1">
      <c r="A35" s="104" t="s">
        <v>18</v>
      </c>
      <c r="B35" s="88"/>
      <c r="C35" s="88"/>
      <c r="D35" s="89"/>
      <c r="E35" s="88"/>
      <c r="F35" s="88"/>
      <c r="G35" s="89"/>
      <c r="H35" s="89"/>
      <c r="I35" s="89"/>
      <c r="J35" s="88"/>
      <c r="K35" s="88"/>
      <c r="L35" s="105"/>
    </row>
    <row r="36" spans="1:12" hidden="1">
      <c r="A36" s="104" t="s">
        <v>19</v>
      </c>
      <c r="B36" s="88"/>
      <c r="C36" s="88"/>
      <c r="D36" s="89"/>
      <c r="E36" s="88"/>
      <c r="F36" s="88"/>
      <c r="G36" s="89"/>
      <c r="H36" s="89"/>
      <c r="I36" s="89"/>
      <c r="J36" s="88"/>
      <c r="K36" s="88"/>
      <c r="L36" s="105"/>
    </row>
    <row r="37" spans="1:12" hidden="1">
      <c r="A37" s="104" t="s">
        <v>20</v>
      </c>
      <c r="B37" s="88"/>
      <c r="C37" s="88"/>
      <c r="D37" s="89"/>
      <c r="E37" s="88"/>
      <c r="F37" s="88"/>
      <c r="G37" s="89"/>
      <c r="H37" s="89"/>
      <c r="I37" s="89"/>
      <c r="J37" s="88"/>
      <c r="K37" s="88"/>
      <c r="L37" s="105"/>
    </row>
    <row r="38" spans="1:12" hidden="1">
      <c r="A38" s="104" t="s">
        <v>21</v>
      </c>
      <c r="B38" s="88"/>
      <c r="C38" s="88"/>
      <c r="D38" s="89"/>
      <c r="E38" s="88"/>
      <c r="F38" s="88"/>
      <c r="G38" s="89"/>
      <c r="H38" s="89"/>
      <c r="I38" s="89"/>
      <c r="J38" s="88"/>
      <c r="K38" s="88"/>
      <c r="L38" s="105"/>
    </row>
    <row r="39" spans="1:12" hidden="1">
      <c r="A39" s="106" t="s">
        <v>22</v>
      </c>
      <c r="B39" s="88"/>
      <c r="C39" s="88"/>
      <c r="D39" s="89"/>
      <c r="E39" s="88"/>
      <c r="F39" s="88"/>
      <c r="G39" s="89"/>
      <c r="H39" s="89"/>
      <c r="I39" s="89"/>
      <c r="J39" s="88"/>
      <c r="K39" s="88"/>
      <c r="L39" s="105"/>
    </row>
    <row r="40" spans="1:12" hidden="1">
      <c r="A40" s="106" t="s">
        <v>23</v>
      </c>
      <c r="B40" s="88"/>
      <c r="C40" s="88"/>
      <c r="D40" s="89"/>
      <c r="E40" s="88"/>
      <c r="F40" s="88"/>
      <c r="G40" s="89"/>
      <c r="H40" s="89"/>
      <c r="I40" s="89"/>
      <c r="J40" s="88"/>
      <c r="K40" s="88"/>
      <c r="L40" s="105"/>
    </row>
    <row r="41" spans="1:12" hidden="1">
      <c r="A41" s="106" t="s">
        <v>24</v>
      </c>
      <c r="B41" s="88"/>
      <c r="C41" s="88"/>
      <c r="D41" s="89"/>
      <c r="E41" s="88"/>
      <c r="F41" s="88"/>
      <c r="G41" s="89"/>
      <c r="H41" s="89"/>
      <c r="I41" s="89"/>
      <c r="J41" s="88"/>
      <c r="K41" s="88"/>
      <c r="L41" s="105"/>
    </row>
    <row r="42" spans="1:12" hidden="1">
      <c r="A42" s="106" t="s">
        <v>25</v>
      </c>
      <c r="B42" s="88"/>
      <c r="C42" s="88"/>
      <c r="D42" s="89"/>
      <c r="E42" s="88"/>
      <c r="F42" s="88"/>
      <c r="G42" s="89"/>
      <c r="H42" s="89"/>
      <c r="I42" s="89"/>
      <c r="J42" s="88"/>
      <c r="K42" s="88"/>
      <c r="L42" s="105"/>
    </row>
    <row r="43" spans="1:12" hidden="1">
      <c r="A43" s="106" t="s">
        <v>26</v>
      </c>
      <c r="B43" s="88"/>
      <c r="C43" s="88"/>
      <c r="D43" s="89"/>
      <c r="E43" s="88"/>
      <c r="F43" s="88"/>
      <c r="G43" s="89"/>
      <c r="H43" s="89"/>
      <c r="I43" s="89"/>
      <c r="J43" s="88"/>
      <c r="K43" s="88"/>
      <c r="L43" s="105"/>
    </row>
    <row r="44" spans="1:12" hidden="1">
      <c r="A44" s="106" t="s">
        <v>27</v>
      </c>
      <c r="B44" s="88"/>
      <c r="C44" s="88"/>
      <c r="D44" s="89"/>
      <c r="E44" s="88"/>
      <c r="F44" s="88"/>
      <c r="G44" s="89"/>
      <c r="H44" s="89"/>
      <c r="I44" s="89"/>
      <c r="J44" s="88"/>
      <c r="K44" s="88"/>
      <c r="L44" s="105"/>
    </row>
    <row r="45" spans="1:12" hidden="1">
      <c r="A45" s="106" t="s">
        <v>28</v>
      </c>
      <c r="B45" s="88"/>
      <c r="C45" s="88"/>
      <c r="D45" s="89"/>
      <c r="E45" s="88"/>
      <c r="F45" s="88"/>
      <c r="G45" s="89"/>
      <c r="H45" s="89"/>
      <c r="I45" s="89"/>
      <c r="J45" s="88"/>
      <c r="K45" s="88"/>
      <c r="L45" s="105"/>
    </row>
    <row r="46" spans="1:12" hidden="1">
      <c r="A46" s="106" t="s">
        <v>29</v>
      </c>
      <c r="B46" s="88"/>
      <c r="C46" s="88"/>
      <c r="D46" s="89"/>
      <c r="E46" s="88"/>
      <c r="F46" s="88"/>
      <c r="G46" s="89"/>
      <c r="H46" s="89"/>
      <c r="I46" s="89"/>
      <c r="J46" s="88"/>
      <c r="K46" s="88"/>
      <c r="L46" s="105"/>
    </row>
    <row r="47" spans="1:12" hidden="1">
      <c r="A47" s="106" t="s">
        <v>30</v>
      </c>
      <c r="B47" s="88"/>
      <c r="C47" s="88"/>
      <c r="D47" s="89"/>
      <c r="E47" s="88"/>
      <c r="F47" s="88"/>
      <c r="G47" s="89"/>
      <c r="H47" s="89"/>
      <c r="I47" s="89"/>
      <c r="J47" s="88"/>
      <c r="K47" s="88"/>
      <c r="L47" s="105"/>
    </row>
    <row r="48" spans="1:12" ht="13.5" hidden="1" thickBot="1">
      <c r="A48" s="107" t="s">
        <v>31</v>
      </c>
      <c r="B48" s="91"/>
      <c r="C48" s="91"/>
      <c r="D48" s="92"/>
      <c r="E48" s="91"/>
      <c r="F48" s="91"/>
      <c r="G48" s="92"/>
      <c r="H48" s="92"/>
      <c r="I48" s="92"/>
      <c r="J48" s="91"/>
      <c r="K48" s="91"/>
      <c r="L48" s="108"/>
    </row>
    <row r="49" spans="1:12" ht="24.75" hidden="1" customHeight="1" thickBot="1">
      <c r="A49" s="97" t="s">
        <v>88</v>
      </c>
      <c r="B49" s="285">
        <f>SUM(B35:B48)</f>
        <v>0</v>
      </c>
      <c r="C49" s="285">
        <f t="shared" ref="C49:L49" si="4">SUM(C35:C48)</f>
        <v>0</v>
      </c>
      <c r="D49" s="285">
        <f t="shared" si="4"/>
        <v>0</v>
      </c>
      <c r="E49" s="285">
        <f t="shared" si="4"/>
        <v>0</v>
      </c>
      <c r="F49" s="285">
        <f t="shared" si="4"/>
        <v>0</v>
      </c>
      <c r="G49" s="285">
        <f t="shared" si="4"/>
        <v>0</v>
      </c>
      <c r="H49" s="285">
        <f t="shared" si="4"/>
        <v>0</v>
      </c>
      <c r="I49" s="285">
        <f t="shared" si="4"/>
        <v>0</v>
      </c>
      <c r="J49" s="285">
        <f t="shared" si="4"/>
        <v>0</v>
      </c>
      <c r="K49" s="285">
        <f t="shared" si="4"/>
        <v>0</v>
      </c>
      <c r="L49" s="286">
        <f t="shared" si="4"/>
        <v>0</v>
      </c>
    </row>
    <row r="50" spans="1:12" hidden="1">
      <c r="A50" s="109"/>
      <c r="B50" s="109"/>
      <c r="C50" s="109"/>
      <c r="D50" s="109"/>
      <c r="E50" s="101"/>
      <c r="F50" s="102"/>
      <c r="G50" s="102"/>
      <c r="H50" s="102"/>
      <c r="I50" s="102"/>
      <c r="J50" s="102"/>
      <c r="K50" s="102"/>
      <c r="L50" s="102"/>
    </row>
    <row r="51" spans="1:12" ht="13.5" hidden="1" thickBot="1">
      <c r="A51" s="110"/>
      <c r="B51" s="110"/>
      <c r="C51" s="110"/>
      <c r="D51" s="110"/>
      <c r="E51" s="110"/>
      <c r="F51" s="110"/>
      <c r="G51" s="110"/>
      <c r="H51" s="110"/>
      <c r="I51" s="110"/>
      <c r="J51" s="110"/>
      <c r="K51" s="110"/>
      <c r="L51" s="110"/>
    </row>
    <row r="52" spans="1:12" s="111" customFormat="1" ht="15.75" thickBot="1">
      <c r="A52" s="612" t="s">
        <v>92</v>
      </c>
      <c r="B52" s="613"/>
      <c r="C52" s="613"/>
      <c r="D52" s="613"/>
      <c r="E52" s="613"/>
      <c r="F52" s="613"/>
      <c r="G52" s="613"/>
      <c r="H52" s="613"/>
      <c r="I52" s="613"/>
      <c r="J52" s="613"/>
      <c r="K52" s="613"/>
      <c r="L52" s="614"/>
    </row>
    <row r="53" spans="1:12" ht="15.75" customHeight="1">
      <c r="A53" s="582" t="s">
        <v>96</v>
      </c>
      <c r="B53" s="583"/>
      <c r="C53" s="569" t="s">
        <v>104</v>
      </c>
      <c r="D53" s="570"/>
      <c r="E53" s="571"/>
      <c r="F53" s="569" t="s">
        <v>105</v>
      </c>
      <c r="G53" s="570"/>
      <c r="H53" s="571"/>
      <c r="I53" s="569" t="s">
        <v>106</v>
      </c>
      <c r="J53" s="570"/>
      <c r="K53" s="571"/>
      <c r="L53" s="567" t="s">
        <v>108</v>
      </c>
    </row>
    <row r="54" spans="1:12" ht="34.5" customHeight="1" thickBot="1">
      <c r="A54" s="584"/>
      <c r="B54" s="585"/>
      <c r="C54" s="79" t="s">
        <v>98</v>
      </c>
      <c r="D54" s="79" t="s">
        <v>100</v>
      </c>
      <c r="E54" s="79" t="s">
        <v>101</v>
      </c>
      <c r="F54" s="79" t="s">
        <v>99</v>
      </c>
      <c r="G54" s="79" t="s">
        <v>102</v>
      </c>
      <c r="H54" s="79" t="s">
        <v>103</v>
      </c>
      <c r="I54" s="79" t="s">
        <v>99</v>
      </c>
      <c r="J54" s="79" t="s">
        <v>102</v>
      </c>
      <c r="K54" s="79" t="s">
        <v>103</v>
      </c>
      <c r="L54" s="568"/>
    </row>
    <row r="55" spans="1:12">
      <c r="A55" s="112"/>
      <c r="B55" s="113"/>
      <c r="C55" s="113"/>
      <c r="D55" s="113"/>
      <c r="E55" s="113"/>
      <c r="F55" s="113"/>
      <c r="G55" s="113"/>
      <c r="H55" s="113"/>
      <c r="I55" s="113"/>
      <c r="J55" s="113"/>
      <c r="K55" s="113"/>
      <c r="L55" s="114"/>
    </row>
    <row r="56" spans="1:12">
      <c r="A56" s="115" t="s">
        <v>35</v>
      </c>
      <c r="B56" s="116"/>
      <c r="C56" s="117"/>
      <c r="D56" s="118">
        <f>+MROUND(AVERAGE($H$16:$I$25),1000)</f>
        <v>7473000</v>
      </c>
      <c r="E56" s="441">
        <f>+D56*C56</f>
        <v>0</v>
      </c>
      <c r="F56" s="120"/>
      <c r="G56" s="118"/>
      <c r="H56" s="119"/>
      <c r="I56" s="120"/>
      <c r="J56" s="120"/>
      <c r="K56" s="119"/>
      <c r="L56" s="121">
        <f>+E56</f>
        <v>0</v>
      </c>
    </row>
    <row r="57" spans="1:12">
      <c r="A57" s="115" t="s">
        <v>36</v>
      </c>
      <c r="B57" s="116"/>
      <c r="C57" s="117"/>
      <c r="D57" s="118">
        <f t="shared" ref="D57:D66" si="5">+MROUND(AVERAGE($H$16:$I$25),1000)</f>
        <v>7473000</v>
      </c>
      <c r="E57" s="441">
        <f t="shared" ref="E57:E63" si="6">+D57*C57</f>
        <v>0</v>
      </c>
      <c r="F57" s="120"/>
      <c r="G57" s="118"/>
      <c r="H57" s="119"/>
      <c r="I57" s="120"/>
      <c r="J57" s="120"/>
      <c r="K57" s="119"/>
      <c r="L57" s="121">
        <f t="shared" ref="L57:L63" si="7">+E57</f>
        <v>0</v>
      </c>
    </row>
    <row r="58" spans="1:12">
      <c r="A58" s="115" t="s">
        <v>37</v>
      </c>
      <c r="B58" s="116"/>
      <c r="C58" s="117"/>
      <c r="D58" s="118">
        <f t="shared" si="5"/>
        <v>7473000</v>
      </c>
      <c r="E58" s="441">
        <f t="shared" si="6"/>
        <v>0</v>
      </c>
      <c r="F58" s="120"/>
      <c r="G58" s="118"/>
      <c r="H58" s="119"/>
      <c r="I58" s="120"/>
      <c r="J58" s="120"/>
      <c r="K58" s="119"/>
      <c r="L58" s="121">
        <f t="shared" si="7"/>
        <v>0</v>
      </c>
    </row>
    <row r="59" spans="1:12">
      <c r="A59" s="115" t="s">
        <v>38</v>
      </c>
      <c r="B59" s="116"/>
      <c r="C59" s="117">
        <v>1</v>
      </c>
      <c r="D59" s="118">
        <f t="shared" si="5"/>
        <v>7473000</v>
      </c>
      <c r="E59" s="441">
        <f t="shared" si="6"/>
        <v>7473000</v>
      </c>
      <c r="F59" s="120"/>
      <c r="G59" s="118"/>
      <c r="H59" s="119"/>
      <c r="I59" s="120"/>
      <c r="J59" s="120"/>
      <c r="K59" s="119"/>
      <c r="L59" s="121">
        <f t="shared" si="7"/>
        <v>7473000</v>
      </c>
    </row>
    <row r="60" spans="1:12">
      <c r="A60" s="115" t="s">
        <v>39</v>
      </c>
      <c r="B60" s="116"/>
      <c r="C60" s="117">
        <v>2</v>
      </c>
      <c r="D60" s="118">
        <f t="shared" si="5"/>
        <v>7473000</v>
      </c>
      <c r="E60" s="441">
        <f t="shared" si="6"/>
        <v>14946000</v>
      </c>
      <c r="F60" s="120"/>
      <c r="G60" s="118"/>
      <c r="H60" s="119"/>
      <c r="I60" s="120"/>
      <c r="J60" s="120"/>
      <c r="K60" s="119"/>
      <c r="L60" s="121">
        <f t="shared" si="7"/>
        <v>14946000</v>
      </c>
    </row>
    <row r="61" spans="1:12">
      <c r="A61" s="115" t="s">
        <v>40</v>
      </c>
      <c r="B61" s="116"/>
      <c r="C61" s="117">
        <v>6</v>
      </c>
      <c r="D61" s="118">
        <f t="shared" si="5"/>
        <v>7473000</v>
      </c>
      <c r="E61" s="441">
        <f t="shared" si="6"/>
        <v>44838000</v>
      </c>
      <c r="F61" s="120"/>
      <c r="G61" s="118"/>
      <c r="H61" s="119"/>
      <c r="I61" s="120"/>
      <c r="J61" s="120"/>
      <c r="K61" s="119"/>
      <c r="L61" s="121">
        <f t="shared" si="7"/>
        <v>44838000</v>
      </c>
    </row>
    <row r="62" spans="1:12">
      <c r="A62" s="115" t="s">
        <v>41</v>
      </c>
      <c r="B62" s="116"/>
      <c r="C62" s="117"/>
      <c r="D62" s="118">
        <f t="shared" si="5"/>
        <v>7473000</v>
      </c>
      <c r="E62" s="441">
        <f t="shared" si="6"/>
        <v>0</v>
      </c>
      <c r="F62" s="120"/>
      <c r="G62" s="118"/>
      <c r="H62" s="119"/>
      <c r="I62" s="120"/>
      <c r="J62" s="120"/>
      <c r="K62" s="119"/>
      <c r="L62" s="121">
        <f t="shared" si="7"/>
        <v>0</v>
      </c>
    </row>
    <row r="63" spans="1:12">
      <c r="A63" s="115" t="s">
        <v>42</v>
      </c>
      <c r="B63" s="116"/>
      <c r="C63" s="117"/>
      <c r="D63" s="118">
        <f t="shared" si="5"/>
        <v>7473000</v>
      </c>
      <c r="E63" s="441">
        <f t="shared" si="6"/>
        <v>0</v>
      </c>
      <c r="F63" s="120"/>
      <c r="G63" s="118"/>
      <c r="H63" s="119"/>
      <c r="I63" s="120"/>
      <c r="J63" s="120"/>
      <c r="K63" s="119"/>
      <c r="L63" s="121">
        <f t="shared" si="7"/>
        <v>0</v>
      </c>
    </row>
    <row r="64" spans="1:12">
      <c r="A64" s="115" t="s">
        <v>41</v>
      </c>
      <c r="B64" s="116"/>
      <c r="C64" s="117"/>
      <c r="D64" s="118">
        <f t="shared" si="5"/>
        <v>7473000</v>
      </c>
      <c r="E64" s="441">
        <f t="shared" ref="E64:E66" si="8">+D64*C64</f>
        <v>0</v>
      </c>
      <c r="F64" s="120"/>
      <c r="G64" s="118"/>
      <c r="H64" s="119"/>
      <c r="I64" s="120"/>
      <c r="J64" s="120"/>
      <c r="K64" s="119"/>
      <c r="L64" s="121">
        <f t="shared" ref="L64:L66" si="9">+E64</f>
        <v>0</v>
      </c>
    </row>
    <row r="65" spans="1:12">
      <c r="A65" s="115" t="s">
        <v>1357</v>
      </c>
      <c r="B65" s="116"/>
      <c r="C65" s="117"/>
      <c r="D65" s="118">
        <f t="shared" si="5"/>
        <v>7473000</v>
      </c>
      <c r="E65" s="441">
        <f t="shared" si="8"/>
        <v>0</v>
      </c>
      <c r="F65" s="120"/>
      <c r="G65" s="118"/>
      <c r="H65" s="119"/>
      <c r="I65" s="120"/>
      <c r="J65" s="120"/>
      <c r="K65" s="119"/>
      <c r="L65" s="121">
        <f t="shared" si="9"/>
        <v>0</v>
      </c>
    </row>
    <row r="66" spans="1:12" ht="13.5" thickBot="1">
      <c r="A66" s="115" t="s">
        <v>1358</v>
      </c>
      <c r="B66" s="116"/>
      <c r="C66" s="117">
        <v>1</v>
      </c>
      <c r="D66" s="118">
        <f t="shared" si="5"/>
        <v>7473000</v>
      </c>
      <c r="E66" s="441">
        <f t="shared" si="8"/>
        <v>7473000</v>
      </c>
      <c r="F66" s="120"/>
      <c r="G66" s="118"/>
      <c r="H66" s="119"/>
      <c r="I66" s="120"/>
      <c r="J66" s="120"/>
      <c r="K66" s="119"/>
      <c r="L66" s="121">
        <f t="shared" si="9"/>
        <v>7473000</v>
      </c>
    </row>
    <row r="67" spans="1:12" ht="16.5" customHeight="1" thickBot="1">
      <c r="A67" s="615" t="s">
        <v>93</v>
      </c>
      <c r="B67" s="616"/>
      <c r="C67" s="94"/>
      <c r="D67" s="94"/>
      <c r="E67" s="94"/>
      <c r="F67" s="94"/>
      <c r="G67" s="94"/>
      <c r="H67" s="94"/>
      <c r="I67" s="94"/>
      <c r="J67" s="94"/>
      <c r="K67" s="122"/>
      <c r="L67" s="96">
        <f>SUM(L56:L66)</f>
        <v>74730000</v>
      </c>
    </row>
    <row r="68" spans="1:12">
      <c r="A68" s="123" t="s">
        <v>43</v>
      </c>
      <c r="B68" s="124"/>
      <c r="C68" s="125"/>
      <c r="D68" s="125"/>
      <c r="E68" s="126"/>
      <c r="F68" s="127"/>
      <c r="G68" s="125">
        <f>+MROUND($D$56*0.1,1000)</f>
        <v>747000</v>
      </c>
      <c r="H68" s="441">
        <f>+G68*F68</f>
        <v>0</v>
      </c>
      <c r="I68" s="127"/>
      <c r="J68" s="127"/>
      <c r="K68" s="126"/>
      <c r="L68" s="128">
        <f>+H68</f>
        <v>0</v>
      </c>
    </row>
    <row r="69" spans="1:12">
      <c r="A69" s="129" t="s">
        <v>44</v>
      </c>
      <c r="B69" s="130"/>
      <c r="C69" s="118"/>
      <c r="D69" s="118"/>
      <c r="E69" s="119"/>
      <c r="F69" s="120"/>
      <c r="G69" s="125">
        <f t="shared" ref="G69:G78" si="10">+MROUND($D$56*0.1,1000)</f>
        <v>747000</v>
      </c>
      <c r="H69" s="441">
        <f t="shared" ref="H69:H76" si="11">+G69*F69</f>
        <v>0</v>
      </c>
      <c r="I69" s="120"/>
      <c r="J69" s="120"/>
      <c r="K69" s="119"/>
      <c r="L69" s="121">
        <f t="shared" ref="L69:L76" si="12">+H69</f>
        <v>0</v>
      </c>
    </row>
    <row r="70" spans="1:12">
      <c r="A70" s="129" t="s">
        <v>45</v>
      </c>
      <c r="B70" s="130"/>
      <c r="C70" s="118"/>
      <c r="D70" s="118"/>
      <c r="E70" s="119"/>
      <c r="F70" s="120"/>
      <c r="G70" s="125">
        <f t="shared" si="10"/>
        <v>747000</v>
      </c>
      <c r="H70" s="441">
        <f t="shared" si="11"/>
        <v>0</v>
      </c>
      <c r="I70" s="120"/>
      <c r="J70" s="120"/>
      <c r="K70" s="119"/>
      <c r="L70" s="121">
        <f t="shared" si="12"/>
        <v>0</v>
      </c>
    </row>
    <row r="71" spans="1:12">
      <c r="A71" s="129" t="s">
        <v>46</v>
      </c>
      <c r="B71" s="130"/>
      <c r="C71" s="118"/>
      <c r="D71" s="118"/>
      <c r="E71" s="119"/>
      <c r="F71" s="120">
        <v>2</v>
      </c>
      <c r="G71" s="125">
        <f t="shared" si="10"/>
        <v>747000</v>
      </c>
      <c r="H71" s="441">
        <f t="shared" si="11"/>
        <v>1494000</v>
      </c>
      <c r="I71" s="120"/>
      <c r="J71" s="120"/>
      <c r="K71" s="119"/>
      <c r="L71" s="121">
        <f t="shared" si="12"/>
        <v>1494000</v>
      </c>
    </row>
    <row r="72" spans="1:12" s="131" customFormat="1">
      <c r="A72" s="129" t="s">
        <v>47</v>
      </c>
      <c r="B72" s="130"/>
      <c r="C72" s="118"/>
      <c r="D72" s="118"/>
      <c r="E72" s="119"/>
      <c r="F72" s="120">
        <v>2</v>
      </c>
      <c r="G72" s="125">
        <f t="shared" si="10"/>
        <v>747000</v>
      </c>
      <c r="H72" s="441">
        <f t="shared" si="11"/>
        <v>1494000</v>
      </c>
      <c r="I72" s="120"/>
      <c r="J72" s="120"/>
      <c r="K72" s="119"/>
      <c r="L72" s="121">
        <f t="shared" si="12"/>
        <v>1494000</v>
      </c>
    </row>
    <row r="73" spans="1:12">
      <c r="A73" s="129" t="s">
        <v>48</v>
      </c>
      <c r="B73" s="130"/>
      <c r="C73" s="118"/>
      <c r="D73" s="118"/>
      <c r="E73" s="119"/>
      <c r="F73" s="120">
        <v>4</v>
      </c>
      <c r="G73" s="125">
        <f t="shared" si="10"/>
        <v>747000</v>
      </c>
      <c r="H73" s="441">
        <f t="shared" si="11"/>
        <v>2988000</v>
      </c>
      <c r="I73" s="120"/>
      <c r="J73" s="120"/>
      <c r="K73" s="119"/>
      <c r="L73" s="121">
        <f t="shared" si="12"/>
        <v>2988000</v>
      </c>
    </row>
    <row r="74" spans="1:12">
      <c r="A74" s="129" t="s">
        <v>49</v>
      </c>
      <c r="B74" s="130"/>
      <c r="C74" s="118"/>
      <c r="D74" s="118"/>
      <c r="E74" s="119"/>
      <c r="F74" s="120"/>
      <c r="G74" s="125">
        <f t="shared" si="10"/>
        <v>747000</v>
      </c>
      <c r="H74" s="441">
        <f t="shared" si="11"/>
        <v>0</v>
      </c>
      <c r="I74" s="120"/>
      <c r="J74" s="120"/>
      <c r="K74" s="119"/>
      <c r="L74" s="121">
        <f t="shared" si="12"/>
        <v>0</v>
      </c>
    </row>
    <row r="75" spans="1:12">
      <c r="A75" s="129" t="s">
        <v>50</v>
      </c>
      <c r="B75" s="130"/>
      <c r="C75" s="118"/>
      <c r="D75" s="118"/>
      <c r="E75" s="119"/>
      <c r="F75" s="120"/>
      <c r="G75" s="125">
        <f t="shared" si="10"/>
        <v>747000</v>
      </c>
      <c r="H75" s="441">
        <f t="shared" si="11"/>
        <v>0</v>
      </c>
      <c r="I75" s="120"/>
      <c r="J75" s="120"/>
      <c r="K75" s="119"/>
      <c r="L75" s="121">
        <f t="shared" si="12"/>
        <v>0</v>
      </c>
    </row>
    <row r="76" spans="1:12">
      <c r="A76" s="129" t="s">
        <v>1359</v>
      </c>
      <c r="B76" s="130"/>
      <c r="C76" s="118"/>
      <c r="D76" s="118"/>
      <c r="E76" s="119"/>
      <c r="F76" s="120"/>
      <c r="G76" s="125">
        <f t="shared" si="10"/>
        <v>747000</v>
      </c>
      <c r="H76" s="442">
        <f t="shared" si="11"/>
        <v>0</v>
      </c>
      <c r="I76" s="120"/>
      <c r="J76" s="120"/>
      <c r="K76" s="119"/>
      <c r="L76" s="121">
        <f t="shared" si="12"/>
        <v>0</v>
      </c>
    </row>
    <row r="77" spans="1:12">
      <c r="A77" s="129" t="s">
        <v>1360</v>
      </c>
      <c r="B77" s="130"/>
      <c r="C77" s="118"/>
      <c r="D77" s="118"/>
      <c r="E77" s="119"/>
      <c r="F77" s="120">
        <v>10</v>
      </c>
      <c r="G77" s="125">
        <f t="shared" si="10"/>
        <v>747000</v>
      </c>
      <c r="H77" s="442">
        <f t="shared" ref="H77:H78" si="13">+G77*F77</f>
        <v>7470000</v>
      </c>
      <c r="I77" s="120"/>
      <c r="J77" s="120"/>
      <c r="K77" s="119"/>
      <c r="L77" s="121">
        <f t="shared" ref="L77:L78" si="14">+H77</f>
        <v>7470000</v>
      </c>
    </row>
    <row r="78" spans="1:12" ht="13.5" thickBot="1">
      <c r="A78" s="129" t="s">
        <v>1361</v>
      </c>
      <c r="B78" s="469"/>
      <c r="C78" s="118"/>
      <c r="D78" s="118"/>
      <c r="E78" s="119"/>
      <c r="F78" s="120">
        <v>4</v>
      </c>
      <c r="G78" s="125">
        <f t="shared" si="10"/>
        <v>747000</v>
      </c>
      <c r="H78" s="442">
        <f t="shared" si="13"/>
        <v>2988000</v>
      </c>
      <c r="I78" s="120"/>
      <c r="J78" s="120"/>
      <c r="K78" s="119"/>
      <c r="L78" s="121">
        <f t="shared" si="14"/>
        <v>2988000</v>
      </c>
    </row>
    <row r="79" spans="1:12" ht="16.5" customHeight="1" thickBot="1">
      <c r="A79" s="615" t="s">
        <v>94</v>
      </c>
      <c r="B79" s="616"/>
      <c r="C79" s="94"/>
      <c r="D79" s="94"/>
      <c r="E79" s="94"/>
      <c r="F79" s="94"/>
      <c r="G79" s="94"/>
      <c r="H79" s="94"/>
      <c r="I79" s="94"/>
      <c r="J79" s="94"/>
      <c r="K79" s="122"/>
      <c r="L79" s="96">
        <f>SUM(L68:L78)</f>
        <v>16434000</v>
      </c>
    </row>
    <row r="80" spans="1:12" ht="16.5" customHeight="1" thickBot="1">
      <c r="A80" s="615" t="s">
        <v>107</v>
      </c>
      <c r="B80" s="616"/>
      <c r="C80" s="94"/>
      <c r="D80" s="94"/>
      <c r="E80" s="94"/>
      <c r="F80" s="94"/>
      <c r="G80" s="94"/>
      <c r="H80" s="94"/>
      <c r="I80" s="94"/>
      <c r="J80" s="94"/>
      <c r="K80" s="122"/>
      <c r="L80" s="96">
        <v>0</v>
      </c>
    </row>
    <row r="81" spans="1:12" ht="16.5" customHeight="1" thickBot="1">
      <c r="A81" s="586" t="s">
        <v>95</v>
      </c>
      <c r="B81" s="587"/>
      <c r="C81" s="98"/>
      <c r="D81" s="98"/>
      <c r="E81" s="98"/>
      <c r="F81" s="98"/>
      <c r="G81" s="98"/>
      <c r="H81" s="98"/>
      <c r="I81" s="98"/>
      <c r="J81" s="98"/>
      <c r="K81" s="132"/>
      <c r="L81" s="100">
        <f>+L67+L79+L80</f>
        <v>91164000</v>
      </c>
    </row>
    <row r="82" spans="1:12" ht="16.5" customHeight="1">
      <c r="A82" s="133"/>
      <c r="B82" s="133"/>
      <c r="C82" s="133"/>
      <c r="D82" s="133"/>
      <c r="E82" s="134"/>
      <c r="F82" s="134"/>
      <c r="G82" s="134"/>
      <c r="H82" s="134"/>
      <c r="I82" s="134"/>
      <c r="J82" s="134"/>
      <c r="K82" s="134"/>
      <c r="L82" s="134"/>
    </row>
    <row r="83" spans="1:12" s="131" customFormat="1" ht="13.5" thickBot="1">
      <c r="A83" s="135"/>
      <c r="B83" s="135"/>
      <c r="C83" s="135"/>
      <c r="D83" s="135"/>
      <c r="E83" s="135"/>
      <c r="F83" s="136"/>
      <c r="G83" s="136"/>
      <c r="H83" s="136"/>
      <c r="I83" s="136"/>
      <c r="J83" s="136"/>
      <c r="K83" s="136"/>
      <c r="L83" s="136"/>
    </row>
    <row r="84" spans="1:12" ht="16.5" customHeight="1" thickBot="1">
      <c r="A84" s="549" t="s">
        <v>271</v>
      </c>
      <c r="B84" s="550"/>
      <c r="C84" s="550"/>
      <c r="D84" s="550"/>
      <c r="E84" s="550"/>
      <c r="F84" s="550"/>
      <c r="G84" s="549" t="s">
        <v>109</v>
      </c>
      <c r="H84" s="550"/>
      <c r="I84" s="550"/>
      <c r="J84" s="550"/>
      <c r="K84" s="550"/>
      <c r="L84" s="551"/>
    </row>
    <row r="85" spans="1:12" ht="15.75" customHeight="1">
      <c r="A85" s="582" t="s">
        <v>96</v>
      </c>
      <c r="B85" s="595"/>
      <c r="C85" s="583"/>
      <c r="D85" s="607" t="s">
        <v>274</v>
      </c>
      <c r="E85" s="607"/>
      <c r="F85" s="622"/>
      <c r="G85" s="617" t="s">
        <v>96</v>
      </c>
      <c r="H85" s="572"/>
      <c r="I85" s="572"/>
      <c r="J85" s="572" t="s">
        <v>275</v>
      </c>
      <c r="K85" s="572"/>
      <c r="L85" s="623"/>
    </row>
    <row r="86" spans="1:12" ht="16.5" customHeight="1" thickBot="1">
      <c r="A86" s="584"/>
      <c r="B86" s="609"/>
      <c r="C86" s="585"/>
      <c r="D86" s="78" t="s">
        <v>52</v>
      </c>
      <c r="E86" s="78" t="s">
        <v>53</v>
      </c>
      <c r="F86" s="137" t="s">
        <v>16</v>
      </c>
      <c r="G86" s="592"/>
      <c r="H86" s="608"/>
      <c r="I86" s="608"/>
      <c r="J86" s="78" t="s">
        <v>52</v>
      </c>
      <c r="K86" s="78" t="s">
        <v>53</v>
      </c>
      <c r="L86" s="137" t="s">
        <v>16</v>
      </c>
    </row>
    <row r="87" spans="1:12" ht="15" customHeight="1">
      <c r="A87" s="138" t="s">
        <v>54</v>
      </c>
      <c r="B87" s="139"/>
      <c r="C87" s="140"/>
      <c r="D87" s="141"/>
      <c r="E87" s="443"/>
      <c r="F87" s="142">
        <f>+D87*E87</f>
        <v>0</v>
      </c>
      <c r="G87" s="624" t="s">
        <v>112</v>
      </c>
      <c r="H87" s="625"/>
      <c r="I87" s="626"/>
      <c r="J87" s="143"/>
      <c r="K87" s="144"/>
      <c r="L87" s="145"/>
    </row>
    <row r="88" spans="1:12" ht="15" customHeight="1">
      <c r="A88" s="146" t="s">
        <v>55</v>
      </c>
      <c r="B88" s="116"/>
      <c r="C88" s="147"/>
      <c r="D88" s="148"/>
      <c r="E88" s="444">
        <v>131000</v>
      </c>
      <c r="F88" s="142">
        <f t="shared" ref="F88:F104" si="15">+D88*E88</f>
        <v>0</v>
      </c>
      <c r="G88" s="618" t="s">
        <v>113</v>
      </c>
      <c r="H88" s="619"/>
      <c r="I88" s="620"/>
      <c r="J88" s="149"/>
      <c r="K88" s="150"/>
      <c r="L88" s="151"/>
    </row>
    <row r="89" spans="1:12">
      <c r="A89" s="146" t="s">
        <v>56</v>
      </c>
      <c r="B89" s="116"/>
      <c r="C89" s="147"/>
      <c r="D89" s="148">
        <v>200</v>
      </c>
      <c r="E89" s="445">
        <v>17000</v>
      </c>
      <c r="F89" s="142">
        <f t="shared" si="15"/>
        <v>3400000</v>
      </c>
      <c r="G89" s="129" t="s">
        <v>114</v>
      </c>
      <c r="H89" s="152"/>
      <c r="I89" s="153"/>
      <c r="J89" s="154"/>
      <c r="K89" s="150"/>
      <c r="L89" s="151"/>
    </row>
    <row r="90" spans="1:12">
      <c r="A90" s="146" t="s">
        <v>57</v>
      </c>
      <c r="B90" s="116"/>
      <c r="C90" s="147"/>
      <c r="D90" s="148">
        <v>100</v>
      </c>
      <c r="E90" s="445">
        <v>29000</v>
      </c>
      <c r="F90" s="142">
        <f t="shared" si="15"/>
        <v>2900000</v>
      </c>
      <c r="G90" s="129" t="s">
        <v>115</v>
      </c>
      <c r="H90" s="152"/>
      <c r="I90" s="153"/>
      <c r="J90" s="154"/>
      <c r="K90" s="150"/>
      <c r="L90" s="151"/>
    </row>
    <row r="91" spans="1:12">
      <c r="A91" s="146" t="s">
        <v>58</v>
      </c>
      <c r="B91" s="116"/>
      <c r="C91" s="147"/>
      <c r="D91" s="148"/>
      <c r="E91" s="445">
        <v>0</v>
      </c>
      <c r="F91" s="142">
        <f t="shared" si="15"/>
        <v>0</v>
      </c>
      <c r="G91" s="129" t="s">
        <v>116</v>
      </c>
      <c r="H91" s="152"/>
      <c r="I91" s="153"/>
      <c r="J91" s="154"/>
      <c r="K91" s="150"/>
      <c r="L91" s="151"/>
    </row>
    <row r="92" spans="1:12">
      <c r="A92" s="146" t="s">
        <v>59</v>
      </c>
      <c r="B92" s="116"/>
      <c r="C92" s="147"/>
      <c r="D92" s="148"/>
      <c r="E92" s="445">
        <v>0</v>
      </c>
      <c r="F92" s="142">
        <f t="shared" si="15"/>
        <v>0</v>
      </c>
      <c r="G92" s="129" t="s">
        <v>117</v>
      </c>
      <c r="H92" s="152"/>
      <c r="I92" s="153"/>
      <c r="J92" s="154"/>
      <c r="K92" s="150"/>
      <c r="L92" s="151"/>
    </row>
    <row r="93" spans="1:12">
      <c r="A93" s="146" t="s">
        <v>60</v>
      </c>
      <c r="B93" s="116"/>
      <c r="C93" s="147"/>
      <c r="D93" s="148">
        <v>55</v>
      </c>
      <c r="E93" s="445">
        <v>872000</v>
      </c>
      <c r="F93" s="142">
        <f t="shared" si="15"/>
        <v>47960000</v>
      </c>
      <c r="G93" s="129" t="s">
        <v>120</v>
      </c>
      <c r="H93" s="152"/>
      <c r="I93" s="153"/>
      <c r="J93" s="154"/>
      <c r="K93" s="150"/>
      <c r="L93" s="151"/>
    </row>
    <row r="94" spans="1:12">
      <c r="A94" s="146" t="s">
        <v>61</v>
      </c>
      <c r="B94" s="116"/>
      <c r="C94" s="147"/>
      <c r="D94" s="148">
        <v>10</v>
      </c>
      <c r="E94" s="445">
        <v>1090000</v>
      </c>
      <c r="F94" s="142">
        <f t="shared" si="15"/>
        <v>10900000</v>
      </c>
      <c r="G94" s="129" t="s">
        <v>119</v>
      </c>
      <c r="H94" s="152"/>
      <c r="I94" s="153"/>
      <c r="J94" s="154"/>
      <c r="K94" s="150"/>
      <c r="L94" s="151"/>
    </row>
    <row r="95" spans="1:12">
      <c r="A95" s="146" t="s">
        <v>62</v>
      </c>
      <c r="B95" s="116"/>
      <c r="C95" s="147"/>
      <c r="D95" s="148">
        <v>50</v>
      </c>
      <c r="E95" s="445">
        <v>163000</v>
      </c>
      <c r="F95" s="142">
        <f t="shared" si="15"/>
        <v>8150000</v>
      </c>
      <c r="G95" s="129" t="s">
        <v>121</v>
      </c>
      <c r="H95" s="152"/>
      <c r="I95" s="153"/>
      <c r="J95" s="154"/>
      <c r="K95" s="150"/>
      <c r="L95" s="151"/>
    </row>
    <row r="96" spans="1:12">
      <c r="A96" s="146" t="s">
        <v>63</v>
      </c>
      <c r="B96" s="116"/>
      <c r="C96" s="147"/>
      <c r="D96" s="148"/>
      <c r="E96" s="445">
        <v>0</v>
      </c>
      <c r="F96" s="142">
        <f t="shared" si="15"/>
        <v>0</v>
      </c>
      <c r="G96" s="129" t="s">
        <v>122</v>
      </c>
      <c r="H96" s="152"/>
      <c r="I96" s="153"/>
      <c r="J96" s="154"/>
      <c r="K96" s="150"/>
      <c r="L96" s="151"/>
    </row>
    <row r="97" spans="1:12">
      <c r="A97" s="146" t="s">
        <v>64</v>
      </c>
      <c r="B97" s="116"/>
      <c r="C97" s="147"/>
      <c r="D97" s="148">
        <v>230</v>
      </c>
      <c r="E97" s="445">
        <v>120000</v>
      </c>
      <c r="F97" s="142">
        <f t="shared" si="15"/>
        <v>27600000</v>
      </c>
      <c r="G97" s="129" t="s">
        <v>123</v>
      </c>
      <c r="H97" s="152"/>
      <c r="I97" s="153"/>
      <c r="J97" s="154"/>
      <c r="K97" s="150"/>
      <c r="L97" s="151"/>
    </row>
    <row r="98" spans="1:12">
      <c r="A98" s="146" t="s">
        <v>65</v>
      </c>
      <c r="B98" s="116"/>
      <c r="C98" s="147"/>
      <c r="D98" s="148">
        <v>25</v>
      </c>
      <c r="E98" s="445">
        <v>600000</v>
      </c>
      <c r="F98" s="142">
        <f t="shared" si="15"/>
        <v>15000000</v>
      </c>
      <c r="G98" s="129" t="s">
        <v>124</v>
      </c>
      <c r="H98" s="152"/>
      <c r="I98" s="153"/>
      <c r="J98" s="154"/>
      <c r="K98" s="150"/>
      <c r="L98" s="151"/>
    </row>
    <row r="99" spans="1:12">
      <c r="A99" s="146" t="s">
        <v>66</v>
      </c>
      <c r="B99" s="116"/>
      <c r="C99" s="147"/>
      <c r="D99" s="148">
        <v>80</v>
      </c>
      <c r="E99" s="445">
        <v>164000</v>
      </c>
      <c r="F99" s="142">
        <f t="shared" si="15"/>
        <v>13120000</v>
      </c>
      <c r="G99" s="129" t="s">
        <v>72</v>
      </c>
      <c r="H99" s="152"/>
      <c r="I99" s="153"/>
      <c r="J99" s="154"/>
      <c r="K99" s="150"/>
      <c r="L99" s="151"/>
    </row>
    <row r="100" spans="1:12">
      <c r="A100" s="146" t="s">
        <v>67</v>
      </c>
      <c r="B100" s="116"/>
      <c r="C100" s="147"/>
      <c r="D100" s="148">
        <v>40</v>
      </c>
      <c r="E100" s="445">
        <v>164000</v>
      </c>
      <c r="F100" s="142">
        <f t="shared" si="15"/>
        <v>6560000</v>
      </c>
      <c r="G100" s="129" t="s">
        <v>73</v>
      </c>
      <c r="H100" s="152"/>
      <c r="I100" s="153"/>
      <c r="J100" s="154"/>
      <c r="K100" s="150"/>
      <c r="L100" s="151"/>
    </row>
    <row r="101" spans="1:12">
      <c r="A101" s="146" t="s">
        <v>68</v>
      </c>
      <c r="B101" s="116"/>
      <c r="C101" s="147"/>
      <c r="D101" s="148">
        <v>50</v>
      </c>
      <c r="E101" s="445">
        <v>164000</v>
      </c>
      <c r="F101" s="142">
        <f t="shared" si="15"/>
        <v>8200000</v>
      </c>
      <c r="G101" s="129" t="s">
        <v>74</v>
      </c>
      <c r="H101" s="152"/>
      <c r="I101" s="153"/>
      <c r="J101" s="154"/>
      <c r="K101" s="150"/>
      <c r="L101" s="151"/>
    </row>
    <row r="102" spans="1:12">
      <c r="A102" s="155" t="s">
        <v>118</v>
      </c>
      <c r="B102" s="156"/>
      <c r="C102" s="157"/>
      <c r="D102" s="158"/>
      <c r="E102" s="446">
        <v>890000</v>
      </c>
      <c r="F102" s="142">
        <f t="shared" si="15"/>
        <v>0</v>
      </c>
      <c r="G102" s="129" t="s">
        <v>75</v>
      </c>
      <c r="H102" s="161"/>
      <c r="I102" s="162"/>
      <c r="J102" s="163"/>
      <c r="K102" s="164"/>
      <c r="L102" s="165"/>
    </row>
    <row r="103" spans="1:12" ht="15" customHeight="1">
      <c r="A103" s="129" t="s">
        <v>69</v>
      </c>
      <c r="B103" s="116"/>
      <c r="C103" s="166"/>
      <c r="D103" s="158">
        <v>30</v>
      </c>
      <c r="E103" s="446">
        <f>+I16/2</f>
        <v>3750000</v>
      </c>
      <c r="F103" s="142">
        <f t="shared" si="15"/>
        <v>112500000</v>
      </c>
      <c r="G103" s="129" t="s">
        <v>76</v>
      </c>
      <c r="H103" s="161"/>
      <c r="I103" s="162"/>
      <c r="J103" s="163"/>
      <c r="K103" s="164"/>
      <c r="L103" s="165"/>
    </row>
    <row r="104" spans="1:12" ht="25.5">
      <c r="A104" s="266" t="s">
        <v>70</v>
      </c>
      <c r="B104" s="167"/>
      <c r="C104" s="168"/>
      <c r="D104" s="158"/>
      <c r="E104" s="446"/>
      <c r="F104" s="142">
        <f t="shared" si="15"/>
        <v>0</v>
      </c>
      <c r="G104" s="129" t="s">
        <v>77</v>
      </c>
      <c r="H104" s="161"/>
      <c r="I104" s="162"/>
      <c r="J104" s="163"/>
      <c r="K104" s="164"/>
      <c r="L104" s="165"/>
    </row>
    <row r="105" spans="1:12" ht="13.5" thickBot="1">
      <c r="A105" s="169"/>
      <c r="B105" s="170"/>
      <c r="C105" s="171"/>
      <c r="D105" s="158"/>
      <c r="E105" s="159"/>
      <c r="F105" s="160"/>
      <c r="G105" s="129" t="s">
        <v>71</v>
      </c>
      <c r="H105" s="161"/>
      <c r="I105" s="162"/>
      <c r="J105" s="163"/>
      <c r="K105" s="164"/>
      <c r="L105" s="165"/>
    </row>
    <row r="106" spans="1:12" ht="15.75" customHeight="1" thickBot="1">
      <c r="A106" s="588" t="s">
        <v>272</v>
      </c>
      <c r="B106" s="589"/>
      <c r="C106" s="590"/>
      <c r="D106" s="172"/>
      <c r="E106" s="173"/>
      <c r="F106" s="174">
        <f>SUM(F86:F105)</f>
        <v>256290000</v>
      </c>
      <c r="G106" s="588" t="s">
        <v>127</v>
      </c>
      <c r="H106" s="589"/>
      <c r="I106" s="589"/>
      <c r="J106" s="621"/>
      <c r="K106" s="173"/>
      <c r="L106" s="267">
        <f>SUM(L87:L105)</f>
        <v>0</v>
      </c>
    </row>
    <row r="107" spans="1:12" ht="13.5" thickBot="1">
      <c r="A107" s="135"/>
      <c r="B107" s="135"/>
      <c r="C107" s="135"/>
      <c r="D107" s="135"/>
      <c r="E107" s="135"/>
      <c r="F107" s="175"/>
      <c r="G107" s="175"/>
      <c r="H107" s="175"/>
      <c r="I107" s="175"/>
      <c r="J107" s="175"/>
      <c r="K107" s="175"/>
      <c r="L107" s="175"/>
    </row>
    <row r="108" spans="1:12" ht="15.75" thickBot="1">
      <c r="A108" s="588" t="s">
        <v>273</v>
      </c>
      <c r="B108" s="589"/>
      <c r="C108" s="589"/>
      <c r="D108" s="173"/>
      <c r="E108" s="173"/>
      <c r="F108" s="173"/>
      <c r="G108" s="173"/>
      <c r="H108" s="173"/>
      <c r="I108" s="173"/>
      <c r="J108" s="173"/>
      <c r="K108" s="173"/>
      <c r="L108" s="267">
        <f>+L29+L49-L81+F106+L106</f>
        <v>2185514000</v>
      </c>
    </row>
    <row r="109" spans="1:12" ht="13.5" thickBot="1">
      <c r="A109" s="136"/>
      <c r="B109" s="136"/>
      <c r="C109" s="136"/>
      <c r="D109" s="136"/>
      <c r="E109" s="136"/>
      <c r="F109" s="110"/>
      <c r="G109" s="110"/>
      <c r="H109" s="110"/>
      <c r="I109" s="110"/>
      <c r="J109" s="110"/>
      <c r="K109" s="110"/>
      <c r="L109" s="110"/>
    </row>
    <row r="110" spans="1:12">
      <c r="A110" s="176"/>
      <c r="B110" s="177"/>
      <c r="C110" s="177"/>
      <c r="D110" s="177"/>
      <c r="E110" s="178"/>
      <c r="F110" s="177"/>
      <c r="G110" s="179"/>
      <c r="H110" s="180"/>
      <c r="I110" s="177"/>
      <c r="J110" s="179"/>
      <c r="K110" s="177"/>
      <c r="L110" s="180"/>
    </row>
    <row r="111" spans="1:12">
      <c r="A111" s="181" t="s">
        <v>10</v>
      </c>
      <c r="B111" s="182"/>
      <c r="C111" s="182"/>
      <c r="D111" s="182"/>
      <c r="E111" s="183" t="s">
        <v>128</v>
      </c>
      <c r="F111" s="184"/>
      <c r="G111" s="185"/>
      <c r="H111" s="186"/>
      <c r="I111" s="185" t="s">
        <v>129</v>
      </c>
      <c r="J111" s="185"/>
      <c r="K111" s="187"/>
      <c r="L111" s="188"/>
    </row>
    <row r="112" spans="1:12">
      <c r="A112" s="181" t="str">
        <f>TOTAL!B40</f>
        <v>NOMBRE: LUISA FERNANDA HURTADO</v>
      </c>
      <c r="B112" s="182"/>
      <c r="C112" s="182"/>
      <c r="D112" s="182"/>
      <c r="E112" s="181" t="str">
        <f>TOTAL!C40</f>
        <v>NOMBRE: LUISA FERNANDA HURTADO</v>
      </c>
      <c r="F112" s="182"/>
      <c r="G112" s="131"/>
      <c r="H112" s="188"/>
      <c r="I112" s="308" t="str">
        <f>+TOTAL!E40</f>
        <v xml:space="preserve">NOMBRE: </v>
      </c>
      <c r="J112" s="308" t="str">
        <f>+TOTAL!F40</f>
        <v>Jaime Alonso Velez Mazo</v>
      </c>
      <c r="K112" s="187"/>
      <c r="L112" s="188"/>
    </row>
    <row r="113" spans="1:12">
      <c r="A113" s="181" t="str">
        <f>TOTAL!B41</f>
        <v>CARGO: Decana</v>
      </c>
      <c r="B113" s="182"/>
      <c r="C113" s="182"/>
      <c r="D113" s="182"/>
      <c r="E113" s="181" t="str">
        <f>TOTAL!C41</f>
        <v>CARGO: Decana</v>
      </c>
      <c r="F113" s="182"/>
      <c r="G113" s="131"/>
      <c r="H113" s="188"/>
      <c r="I113" s="308" t="str">
        <f>+TOTAL!E41</f>
        <v>CARGO:</v>
      </c>
      <c r="J113" s="308" t="str">
        <f>+TOTAL!F41</f>
        <v>Asistente de Presidencia para Presupuesto</v>
      </c>
      <c r="K113" s="187"/>
      <c r="L113" s="188"/>
    </row>
    <row r="114" spans="1:12">
      <c r="A114" s="181" t="str">
        <f>TOTAL!B42</f>
        <v>FECHA: 22-08-2019</v>
      </c>
      <c r="B114" s="182"/>
      <c r="C114" s="182"/>
      <c r="D114" s="182"/>
      <c r="E114" s="181" t="str">
        <f>TOTAL!C42</f>
        <v>FECHA: 22-08-2019</v>
      </c>
      <c r="F114" s="182"/>
      <c r="G114" s="131"/>
      <c r="H114" s="188"/>
      <c r="I114" s="308" t="str">
        <f>+TOTAL!E42</f>
        <v xml:space="preserve">FECHA: </v>
      </c>
      <c r="J114" s="531">
        <f>+TOTAL!F42</f>
        <v>43699</v>
      </c>
      <c r="K114" s="187"/>
      <c r="L114" s="188"/>
    </row>
    <row r="115" spans="1:12" ht="13.5" thickBot="1">
      <c r="A115" s="189"/>
      <c r="B115" s="190"/>
      <c r="C115" s="190"/>
      <c r="D115" s="190"/>
      <c r="E115" s="191"/>
      <c r="F115" s="190"/>
      <c r="G115" s="192"/>
      <c r="H115" s="193"/>
      <c r="I115" s="190"/>
      <c r="J115" s="192"/>
      <c r="K115" s="194"/>
      <c r="L115" s="193"/>
    </row>
    <row r="116" spans="1:12" s="195" customFormat="1">
      <c r="A116" s="77"/>
      <c r="B116" s="77"/>
      <c r="C116" s="77"/>
      <c r="D116" s="77"/>
      <c r="E116" s="77"/>
      <c r="F116" s="77"/>
      <c r="G116" s="77"/>
      <c r="H116" s="77"/>
      <c r="I116" s="77"/>
      <c r="J116" s="77"/>
      <c r="K116" s="77"/>
      <c r="L116" s="77"/>
    </row>
    <row r="117" spans="1:12" s="195" customFormat="1">
      <c r="A117" s="77"/>
      <c r="B117" s="77"/>
      <c r="C117" s="77"/>
      <c r="D117" s="77"/>
      <c r="E117" s="77"/>
      <c r="F117" s="77"/>
      <c r="G117" s="77"/>
      <c r="H117" s="77"/>
      <c r="I117" s="77"/>
      <c r="J117" s="77"/>
      <c r="K117" s="77"/>
      <c r="L117" s="77"/>
    </row>
    <row r="118" spans="1:12" s="195" customFormat="1">
      <c r="A118" s="77"/>
      <c r="B118" s="77"/>
      <c r="C118" s="77"/>
      <c r="D118" s="77"/>
      <c r="E118" s="77"/>
      <c r="F118" s="77"/>
      <c r="G118" s="77"/>
      <c r="H118" s="77"/>
      <c r="I118" s="77"/>
      <c r="J118" s="77"/>
      <c r="K118" s="77"/>
      <c r="L118" s="77"/>
    </row>
    <row r="119" spans="1:12" s="195" customFormat="1">
      <c r="A119" s="77"/>
      <c r="B119" s="77"/>
      <c r="C119" s="77"/>
      <c r="D119" s="77"/>
      <c r="E119" s="77"/>
      <c r="F119" s="77"/>
      <c r="G119" s="77"/>
      <c r="H119" s="77"/>
      <c r="I119" s="77"/>
      <c r="J119" s="77"/>
      <c r="K119" s="77"/>
      <c r="L119" s="77"/>
    </row>
    <row r="120" spans="1:12" s="195" customFormat="1">
      <c r="A120" s="77"/>
      <c r="B120" s="77"/>
      <c r="C120" s="77"/>
      <c r="D120" s="77"/>
      <c r="E120" s="77"/>
      <c r="F120" s="77"/>
      <c r="G120" s="77"/>
      <c r="H120" s="77"/>
      <c r="I120" s="77"/>
      <c r="J120" s="77"/>
      <c r="K120" s="77"/>
      <c r="L120" s="77"/>
    </row>
  </sheetData>
  <sheetProtection insertColumns="0" insertRows="0" insertHyperlinks="0" deleteColumns="0" deleteRows="0" sort="0"/>
  <mergeCells count="47">
    <mergeCell ref="A108:C108"/>
    <mergeCell ref="K6:L6"/>
    <mergeCell ref="A52:L52"/>
    <mergeCell ref="A67:B67"/>
    <mergeCell ref="A79:B79"/>
    <mergeCell ref="A80:B80"/>
    <mergeCell ref="A14:A15"/>
    <mergeCell ref="E14:G14"/>
    <mergeCell ref="G88:I88"/>
    <mergeCell ref="G106:J106"/>
    <mergeCell ref="G85:I86"/>
    <mergeCell ref="D85:F85"/>
    <mergeCell ref="F53:H53"/>
    <mergeCell ref="I53:K53"/>
    <mergeCell ref="J85:L85"/>
    <mergeCell ref="G87:I87"/>
    <mergeCell ref="A106:C106"/>
    <mergeCell ref="C53:E53"/>
    <mergeCell ref="A33:A34"/>
    <mergeCell ref="A1:L1"/>
    <mergeCell ref="B6:I6"/>
    <mergeCell ref="J14:L14"/>
    <mergeCell ref="A4:L4"/>
    <mergeCell ref="A5:L5"/>
    <mergeCell ref="A2:L2"/>
    <mergeCell ref="A3:L3"/>
    <mergeCell ref="A32:L32"/>
    <mergeCell ref="B33:D33"/>
    <mergeCell ref="I33:I34"/>
    <mergeCell ref="K33:K34"/>
    <mergeCell ref="A13:L13"/>
    <mergeCell ref="A85:C86"/>
    <mergeCell ref="A53:B54"/>
    <mergeCell ref="L53:L54"/>
    <mergeCell ref="A81:B81"/>
    <mergeCell ref="G84:L84"/>
    <mergeCell ref="A84:F84"/>
    <mergeCell ref="A8:L8"/>
    <mergeCell ref="J9:L9"/>
    <mergeCell ref="J10:L11"/>
    <mergeCell ref="A9:I9"/>
    <mergeCell ref="A10:I11"/>
    <mergeCell ref="J33:J34"/>
    <mergeCell ref="L33:L34"/>
    <mergeCell ref="E33:H33"/>
    <mergeCell ref="H14:I14"/>
    <mergeCell ref="B14:D14"/>
  </mergeCells>
  <pageMargins left="0.35433070866141736" right="0.35433070866141736" top="0.59055118110236227" bottom="0.59055118110236227" header="0.31496062992125984" footer="0.19685039370078741"/>
  <pageSetup scale="48" orientation="landscape" r:id="rId1"/>
  <headerFooter>
    <oddFooter>&amp;LST-GF-01-P-01-F06&amp;C&amp;P de &amp;NVersión: 2&amp;R25 de Mayo de 2011</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E436"/>
  <sheetViews>
    <sheetView tabSelected="1" topLeftCell="A401" zoomScale="60" zoomScaleNormal="60" workbookViewId="0">
      <selection activeCell="C415" sqref="C415"/>
    </sheetView>
  </sheetViews>
  <sheetFormatPr baseColWidth="10" defaultRowHeight="15"/>
  <cols>
    <col min="1" max="1" width="2.42578125" style="63" customWidth="1"/>
    <col min="2" max="2" width="11.140625" style="61" customWidth="1"/>
    <col min="3" max="3" width="42.7109375" style="64" customWidth="1"/>
    <col min="4" max="4" width="26" style="64" hidden="1" customWidth="1"/>
    <col min="5" max="5" width="22.7109375" style="64" hidden="1" customWidth="1"/>
    <col min="6" max="6" width="42.140625" style="64" customWidth="1"/>
    <col min="7" max="7" width="51.140625" style="64" customWidth="1"/>
    <col min="8" max="8" width="12.5703125" style="65" customWidth="1"/>
    <col min="9" max="9" width="9.42578125" style="511" customWidth="1"/>
    <col min="10" max="10" width="14.85546875" style="66" customWidth="1"/>
    <col min="11" max="11" width="25.28515625" style="392" customWidth="1"/>
    <col min="12" max="12" width="12.85546875" style="326" customWidth="1"/>
    <col min="13" max="13" width="12.85546875" style="490" customWidth="1"/>
    <col min="14" max="14" width="23.85546875" style="354" customWidth="1"/>
    <col min="15" max="26" width="4" style="61" customWidth="1"/>
    <col min="27" max="27" width="11.7109375" style="55" bestFit="1" customWidth="1"/>
    <col min="28" max="30" width="11.42578125" style="54"/>
    <col min="31" max="31" width="19.42578125" style="54" bestFit="1" customWidth="1"/>
    <col min="32" max="16384" width="11.42578125" style="54"/>
  </cols>
  <sheetData>
    <row r="1" spans="1:31" ht="20.25" customHeight="1">
      <c r="A1" s="599"/>
      <c r="B1" s="653"/>
      <c r="C1" s="653"/>
      <c r="D1" s="653"/>
      <c r="E1" s="653"/>
      <c r="F1" s="653"/>
      <c r="G1" s="653"/>
      <c r="H1" s="653"/>
      <c r="I1" s="653"/>
      <c r="J1" s="653"/>
      <c r="K1" s="653"/>
      <c r="L1" s="653"/>
      <c r="M1" s="653"/>
      <c r="N1" s="653"/>
      <c r="O1" s="653"/>
      <c r="P1" s="653"/>
      <c r="Q1" s="653"/>
      <c r="R1" s="653"/>
      <c r="S1" s="653"/>
      <c r="T1" s="653"/>
      <c r="U1" s="653"/>
      <c r="V1" s="653"/>
      <c r="W1" s="653"/>
      <c r="X1" s="653"/>
      <c r="Y1" s="653"/>
      <c r="Z1" s="654"/>
      <c r="AA1" s="54"/>
    </row>
    <row r="2" spans="1:31" ht="39" customHeight="1">
      <c r="A2" s="2"/>
      <c r="B2" s="655" t="s">
        <v>4</v>
      </c>
      <c r="C2" s="656"/>
      <c r="D2" s="656"/>
      <c r="E2" s="656"/>
      <c r="F2" s="656"/>
      <c r="G2" s="656"/>
      <c r="H2" s="656"/>
      <c r="I2" s="656"/>
      <c r="J2" s="656"/>
      <c r="K2" s="656"/>
      <c r="L2" s="656"/>
      <c r="M2" s="656"/>
      <c r="N2" s="656"/>
      <c r="O2" s="656"/>
      <c r="P2" s="656"/>
      <c r="Q2" s="656"/>
      <c r="R2" s="656"/>
      <c r="S2" s="656"/>
      <c r="T2" s="656"/>
      <c r="U2" s="656"/>
      <c r="V2" s="656"/>
      <c r="W2" s="656"/>
      <c r="X2" s="656"/>
      <c r="Y2" s="656"/>
      <c r="Z2" s="657"/>
      <c r="AA2" s="54"/>
    </row>
    <row r="3" spans="1:31" ht="27.75" customHeight="1">
      <c r="A3" s="2"/>
      <c r="B3" s="655" t="s">
        <v>110</v>
      </c>
      <c r="C3" s="656"/>
      <c r="D3" s="656"/>
      <c r="E3" s="656"/>
      <c r="F3" s="656"/>
      <c r="G3" s="656"/>
      <c r="H3" s="656"/>
      <c r="I3" s="656"/>
      <c r="J3" s="656"/>
      <c r="K3" s="656"/>
      <c r="L3" s="656"/>
      <c r="M3" s="656"/>
      <c r="N3" s="656"/>
      <c r="O3" s="656"/>
      <c r="P3" s="656"/>
      <c r="Q3" s="656"/>
      <c r="R3" s="656"/>
      <c r="S3" s="656"/>
      <c r="T3" s="656"/>
      <c r="U3" s="656"/>
      <c r="V3" s="656"/>
      <c r="W3" s="656"/>
      <c r="X3" s="656"/>
      <c r="Y3" s="656"/>
      <c r="Z3" s="657"/>
      <c r="AA3" s="54"/>
    </row>
    <row r="4" spans="1:31" ht="10.5" customHeight="1">
      <c r="A4" s="597"/>
      <c r="B4" s="598"/>
      <c r="C4" s="598"/>
      <c r="D4" s="598"/>
      <c r="E4" s="598"/>
      <c r="F4" s="598"/>
      <c r="G4" s="598"/>
      <c r="H4" s="598"/>
      <c r="I4" s="598"/>
      <c r="J4" s="598"/>
      <c r="K4" s="598"/>
      <c r="L4" s="598"/>
      <c r="M4" s="598"/>
      <c r="N4" s="658"/>
      <c r="O4" s="3"/>
      <c r="P4" s="1"/>
      <c r="Q4" s="1"/>
      <c r="R4" s="1"/>
      <c r="S4" s="1"/>
      <c r="T4" s="1"/>
      <c r="U4" s="1"/>
      <c r="V4" s="1"/>
      <c r="W4" s="1"/>
      <c r="X4" s="1"/>
      <c r="Y4" s="1"/>
      <c r="Z4" s="1"/>
      <c r="AA4" s="54"/>
    </row>
    <row r="5" spans="1:31" ht="10.5" customHeight="1" thickBot="1">
      <c r="A5" s="599"/>
      <c r="B5" s="594"/>
      <c r="C5" s="594"/>
      <c r="D5" s="594"/>
      <c r="E5" s="594"/>
      <c r="F5" s="594"/>
      <c r="G5" s="594"/>
      <c r="H5" s="594"/>
      <c r="I5" s="594"/>
      <c r="J5" s="594"/>
      <c r="K5" s="594"/>
      <c r="L5" s="594"/>
      <c r="M5" s="594"/>
      <c r="N5" s="659"/>
      <c r="O5" s="4"/>
      <c r="P5" s="5"/>
      <c r="Q5" s="5"/>
      <c r="R5" s="5"/>
      <c r="S5" s="5"/>
      <c r="T5" s="5"/>
      <c r="U5" s="5"/>
      <c r="V5" s="5"/>
      <c r="W5" s="5"/>
      <c r="X5" s="5"/>
      <c r="Y5" s="5"/>
      <c r="Z5" s="5"/>
      <c r="AA5" s="54"/>
    </row>
    <row r="6" spans="1:31" ht="23.25" customHeight="1" thickBot="1">
      <c r="A6" s="6"/>
      <c r="B6" s="642" t="s">
        <v>282</v>
      </c>
      <c r="C6" s="650"/>
      <c r="D6" s="650"/>
      <c r="E6" s="650"/>
      <c r="F6" s="650"/>
      <c r="G6" s="650"/>
      <c r="H6" s="650"/>
      <c r="I6" s="650"/>
      <c r="J6" s="650"/>
      <c r="K6" s="643"/>
      <c r="L6" s="535" t="s">
        <v>111</v>
      </c>
      <c r="M6" s="537">
        <v>2019</v>
      </c>
      <c r="N6" s="610" t="s">
        <v>281</v>
      </c>
      <c r="O6" s="663"/>
      <c r="P6" s="663"/>
      <c r="Q6" s="663"/>
      <c r="R6" s="663"/>
      <c r="S6" s="663"/>
      <c r="T6" s="663"/>
      <c r="U6" s="663"/>
      <c r="V6" s="663"/>
      <c r="W6" s="663"/>
      <c r="X6" s="663"/>
      <c r="Y6" s="663"/>
      <c r="Z6" s="664"/>
    </row>
    <row r="7" spans="1:31" s="57" customFormat="1" ht="6" customHeight="1" thickBot="1">
      <c r="A7" s="660"/>
      <c r="B7" s="660"/>
      <c r="C7" s="660"/>
      <c r="D7" s="660"/>
      <c r="E7" s="660"/>
      <c r="F7" s="660"/>
      <c r="G7" s="660"/>
      <c r="H7" s="660"/>
      <c r="I7" s="660"/>
      <c r="J7" s="660"/>
      <c r="K7" s="660"/>
      <c r="L7" s="660"/>
      <c r="M7" s="660"/>
      <c r="N7" s="660"/>
      <c r="O7" s="7"/>
      <c r="P7" s="7"/>
      <c r="Q7" s="7"/>
      <c r="R7" s="7"/>
      <c r="S7" s="7"/>
      <c r="T7" s="7"/>
      <c r="U7" s="7"/>
      <c r="V7" s="7"/>
      <c r="W7" s="7"/>
      <c r="X7" s="7"/>
      <c r="Y7" s="7"/>
      <c r="Z7" s="7"/>
      <c r="AA7" s="56"/>
    </row>
    <row r="8" spans="1:31" s="62" customFormat="1" ht="25.5" customHeight="1" thickBot="1">
      <c r="A8" s="268"/>
      <c r="B8" s="309" t="s">
        <v>0</v>
      </c>
      <c r="C8" s="661" t="str">
        <f>+TOTAL!C9</f>
        <v>FACULTAD DE DERECHO Y CIENCIAS POLITICAS</v>
      </c>
      <c r="D8" s="661"/>
      <c r="E8" s="661"/>
      <c r="F8" s="661"/>
      <c r="G8" s="661"/>
      <c r="H8" s="310"/>
      <c r="I8" s="492"/>
      <c r="J8" s="310"/>
      <c r="K8" s="390"/>
      <c r="L8" s="320"/>
      <c r="M8" s="471"/>
      <c r="N8" s="343"/>
      <c r="O8" s="310"/>
      <c r="P8" s="310"/>
      <c r="Q8" s="310"/>
      <c r="R8" s="310"/>
      <c r="S8" s="310"/>
      <c r="T8" s="310"/>
      <c r="U8" s="310"/>
      <c r="V8" s="310"/>
      <c r="W8" s="310"/>
      <c r="X8" s="310"/>
      <c r="Y8" s="310"/>
      <c r="Z8" s="311"/>
      <c r="AA8" s="269"/>
    </row>
    <row r="9" spans="1:31" s="272" customFormat="1" ht="25.5" customHeight="1" thickBot="1">
      <c r="A9" s="270"/>
      <c r="B9" s="359" t="s">
        <v>6</v>
      </c>
      <c r="C9" s="665" t="str">
        <f>+INGRESOS!A10</f>
        <v>Derecho Calendario B</v>
      </c>
      <c r="D9" s="665"/>
      <c r="E9" s="665"/>
      <c r="F9" s="665"/>
      <c r="G9" s="665"/>
      <c r="H9" s="284" t="s">
        <v>5</v>
      </c>
      <c r="I9" s="661" t="str">
        <f>+INGRESOS!J10</f>
        <v>03010102</v>
      </c>
      <c r="J9" s="661"/>
      <c r="K9" s="661"/>
      <c r="L9" s="661"/>
      <c r="M9" s="661"/>
      <c r="N9" s="661"/>
      <c r="O9" s="661"/>
      <c r="P9" s="661"/>
      <c r="Q9" s="661"/>
      <c r="R9" s="661"/>
      <c r="S9" s="661"/>
      <c r="T9" s="661"/>
      <c r="U9" s="661"/>
      <c r="V9" s="661"/>
      <c r="W9" s="661"/>
      <c r="X9" s="661"/>
      <c r="Y9" s="661"/>
      <c r="Z9" s="662"/>
      <c r="AA9" s="271"/>
    </row>
    <row r="10" spans="1:31" s="57" customFormat="1" ht="15.75" thickBot="1">
      <c r="A10" s="660"/>
      <c r="B10" s="660"/>
      <c r="C10" s="660"/>
      <c r="D10" s="660"/>
      <c r="E10" s="660"/>
      <c r="F10" s="660"/>
      <c r="G10" s="660"/>
      <c r="H10" s="660"/>
      <c r="I10" s="660"/>
      <c r="J10" s="660"/>
      <c r="K10" s="660"/>
      <c r="L10" s="660"/>
      <c r="M10" s="660"/>
      <c r="N10" s="660"/>
      <c r="O10" s="7"/>
      <c r="P10" s="7"/>
      <c r="Q10" s="7"/>
      <c r="R10" s="7"/>
      <c r="S10" s="7"/>
      <c r="T10" s="7"/>
      <c r="U10" s="7"/>
      <c r="V10" s="7"/>
      <c r="W10" s="7"/>
      <c r="X10" s="7"/>
      <c r="Y10" s="7"/>
      <c r="Z10" s="7"/>
      <c r="AA10" s="56"/>
    </row>
    <row r="11" spans="1:31" ht="32.25" customHeight="1" thickBot="1">
      <c r="A11" s="6"/>
      <c r="B11" s="644" t="s">
        <v>3</v>
      </c>
      <c r="C11" s="645"/>
      <c r="D11" s="640" t="s">
        <v>255</v>
      </c>
      <c r="E11" s="645" t="s">
        <v>256</v>
      </c>
      <c r="F11" s="640" t="s">
        <v>245</v>
      </c>
      <c r="G11" s="640" t="s">
        <v>246</v>
      </c>
      <c r="H11" s="642" t="s">
        <v>251</v>
      </c>
      <c r="I11" s="650"/>
      <c r="J11" s="650"/>
      <c r="K11" s="650"/>
      <c r="L11" s="650"/>
      <c r="M11" s="650"/>
      <c r="N11" s="643"/>
      <c r="O11" s="642" t="s">
        <v>252</v>
      </c>
      <c r="P11" s="650"/>
      <c r="Q11" s="650"/>
      <c r="R11" s="650"/>
      <c r="S11" s="650"/>
      <c r="T11" s="650"/>
      <c r="U11" s="650"/>
      <c r="V11" s="650"/>
      <c r="W11" s="650"/>
      <c r="X11" s="650"/>
      <c r="Y11" s="650"/>
      <c r="Z11" s="643"/>
    </row>
    <row r="12" spans="1:31" ht="54" customHeight="1" thickBot="1">
      <c r="A12" s="6"/>
      <c r="B12" s="646"/>
      <c r="C12" s="647"/>
      <c r="D12" s="648"/>
      <c r="E12" s="649"/>
      <c r="F12" s="648"/>
      <c r="G12" s="641"/>
      <c r="H12" s="535" t="s">
        <v>253</v>
      </c>
      <c r="I12" s="537"/>
      <c r="J12" s="535" t="s">
        <v>265</v>
      </c>
      <c r="K12" s="537"/>
      <c r="L12" s="535" t="s">
        <v>254</v>
      </c>
      <c r="M12" s="537"/>
      <c r="N12" s="651" t="s">
        <v>264</v>
      </c>
      <c r="O12" s="640" t="s">
        <v>222</v>
      </c>
      <c r="P12" s="640" t="s">
        <v>223</v>
      </c>
      <c r="Q12" s="640" t="s">
        <v>224</v>
      </c>
      <c r="R12" s="640" t="s">
        <v>225</v>
      </c>
      <c r="S12" s="640" t="s">
        <v>224</v>
      </c>
      <c r="T12" s="640" t="s">
        <v>226</v>
      </c>
      <c r="U12" s="640" t="s">
        <v>226</v>
      </c>
      <c r="V12" s="640" t="s">
        <v>225</v>
      </c>
      <c r="W12" s="640" t="s">
        <v>227</v>
      </c>
      <c r="X12" s="640" t="s">
        <v>228</v>
      </c>
      <c r="Y12" s="640" t="s">
        <v>221</v>
      </c>
      <c r="Z12" s="640" t="s">
        <v>229</v>
      </c>
      <c r="AD12" s="467">
        <v>0.2</v>
      </c>
    </row>
    <row r="13" spans="1:31" ht="18.75" thickBot="1">
      <c r="A13" s="6"/>
      <c r="B13" s="58" t="s">
        <v>7</v>
      </c>
      <c r="C13" s="53" t="s">
        <v>6</v>
      </c>
      <c r="D13" s="641"/>
      <c r="E13" s="647"/>
      <c r="F13" s="642" t="s">
        <v>244</v>
      </c>
      <c r="G13" s="643"/>
      <c r="H13" s="204" t="s">
        <v>7</v>
      </c>
      <c r="I13" s="455" t="s">
        <v>6</v>
      </c>
      <c r="J13" s="204" t="s">
        <v>7</v>
      </c>
      <c r="K13" s="204" t="s">
        <v>6</v>
      </c>
      <c r="L13" s="204" t="s">
        <v>7</v>
      </c>
      <c r="M13" s="472" t="s">
        <v>6</v>
      </c>
      <c r="N13" s="652"/>
      <c r="O13" s="641"/>
      <c r="P13" s="641"/>
      <c r="Q13" s="641"/>
      <c r="R13" s="641"/>
      <c r="S13" s="641"/>
      <c r="T13" s="641"/>
      <c r="U13" s="641"/>
      <c r="V13" s="641"/>
      <c r="W13" s="641"/>
      <c r="X13" s="641"/>
      <c r="Y13" s="641"/>
      <c r="Z13" s="641"/>
    </row>
    <row r="14" spans="1:31" s="60" customFormat="1" ht="62.25" customHeight="1">
      <c r="A14" s="8"/>
      <c r="B14" s="20" t="str">
        <f>+IFERROR(VLOOKUP(C14,Listas!$L$8:$M$101,2,FALSE),"")</f>
        <v>10010101</v>
      </c>
      <c r="C14" s="339" t="s">
        <v>471</v>
      </c>
      <c r="D14" s="276"/>
      <c r="E14" s="277"/>
      <c r="F14" s="636" t="s">
        <v>1007</v>
      </c>
      <c r="G14" s="370" t="s">
        <v>1341</v>
      </c>
      <c r="H14" s="371" t="str">
        <f>+IF(I14=""," ",VLOOKUP(I14,Listas!$I$8:$J$10,2,FALSE))</f>
        <v>02</v>
      </c>
      <c r="I14" s="493" t="s">
        <v>464</v>
      </c>
      <c r="J14" s="372">
        <f>+IF(K14=""," ",VLOOKUP(K14,PUC!$B:$C,2,FALSE))</f>
        <v>6208020203</v>
      </c>
      <c r="K14" s="373" t="s">
        <v>811</v>
      </c>
      <c r="L14" s="374" t="str">
        <f>+IF(M14=""," ",VLOOKUP(M14,Listas!$F$9:$G$17,2,FALSE))</f>
        <v>02</v>
      </c>
      <c r="M14" s="473" t="s">
        <v>444</v>
      </c>
      <c r="N14" s="375">
        <f>+IFERROR((MROUND(AE14*$AD$12,1000)),"")</f>
        <v>900000</v>
      </c>
      <c r="O14" s="12"/>
      <c r="P14" s="13"/>
      <c r="Q14" s="13"/>
      <c r="R14" s="13"/>
      <c r="S14" s="13"/>
      <c r="T14" s="13"/>
      <c r="U14" s="13"/>
      <c r="V14" s="13"/>
      <c r="W14" s="13"/>
      <c r="X14" s="13"/>
      <c r="Y14" s="13"/>
      <c r="Z14" s="14"/>
      <c r="AA14" s="59"/>
      <c r="AE14" s="375">
        <v>4500000</v>
      </c>
    </row>
    <row r="15" spans="1:31" s="59" customFormat="1" ht="29.25" customHeight="1">
      <c r="A15" s="8"/>
      <c r="B15" s="11" t="str">
        <f>+IFERROR(VLOOKUP(C15,Listas!$L$8:$M$101,2,FALSE),"")</f>
        <v>10010101</v>
      </c>
      <c r="C15" s="334" t="s">
        <v>471</v>
      </c>
      <c r="D15" s="274"/>
      <c r="E15" s="275"/>
      <c r="F15" s="637"/>
      <c r="G15" s="364" t="s">
        <v>1008</v>
      </c>
      <c r="H15" s="365" t="str">
        <f>+IF(I15=""," ",VLOOKUP(I15,Listas!$I$8:$J$10,2,FALSE))</f>
        <v>02</v>
      </c>
      <c r="I15" s="494" t="s">
        <v>464</v>
      </c>
      <c r="J15" s="366">
        <f>+IF(K15=""," ",VLOOKUP(K15,PUC!$B:$C,2,FALSE))</f>
        <v>6208020203</v>
      </c>
      <c r="K15" s="367" t="s">
        <v>811</v>
      </c>
      <c r="L15" s="368" t="str">
        <f>+IF(M15=""," ",VLOOKUP(M15,Listas!$F$9:$G$17,2,FALSE))</f>
        <v>02</v>
      </c>
      <c r="M15" s="474" t="s">
        <v>444</v>
      </c>
      <c r="N15" s="369">
        <f t="shared" ref="N15:N78" si="0">+IFERROR((MROUND(AE15*$AD$12,1000)),"")</f>
        <v>0</v>
      </c>
      <c r="O15" s="15"/>
      <c r="P15" s="16"/>
      <c r="Q15" s="16"/>
      <c r="R15" s="16"/>
      <c r="S15" s="16"/>
      <c r="T15" s="16"/>
      <c r="U15" s="16"/>
      <c r="V15" s="16"/>
      <c r="W15" s="16"/>
      <c r="X15" s="16"/>
      <c r="Y15" s="16"/>
      <c r="Z15" s="17"/>
      <c r="AE15" s="369"/>
    </row>
    <row r="16" spans="1:31" s="59" customFormat="1" ht="78" customHeight="1">
      <c r="A16" s="8"/>
      <c r="B16" s="11" t="str">
        <f>+IFERROR(VLOOKUP(C16,Listas!$L$8:$M$101,2,FALSE),"")</f>
        <v>10010101</v>
      </c>
      <c r="C16" s="334" t="s">
        <v>471</v>
      </c>
      <c r="D16" s="274"/>
      <c r="E16" s="275"/>
      <c r="F16" s="637"/>
      <c r="G16" s="666" t="s">
        <v>1340</v>
      </c>
      <c r="H16" s="365" t="str">
        <f>+IF(I16=""," ",VLOOKUP(I16,Listas!$I$8:$J$10,2,FALSE))</f>
        <v>02</v>
      </c>
      <c r="I16" s="494" t="s">
        <v>464</v>
      </c>
      <c r="J16" s="366">
        <f>+IF(K16=""," ",VLOOKUP(K16,PUC!$B:$C,2,FALSE))</f>
        <v>6208020203</v>
      </c>
      <c r="K16" s="367" t="s">
        <v>811</v>
      </c>
      <c r="L16" s="368" t="str">
        <f>+IF(M16=""," ",VLOOKUP(M16,Listas!$F$9:$G$17,2,FALSE))</f>
        <v>02</v>
      </c>
      <c r="M16" s="474" t="s">
        <v>444</v>
      </c>
      <c r="N16" s="369">
        <f t="shared" si="0"/>
        <v>2000000</v>
      </c>
      <c r="O16" s="15"/>
      <c r="P16" s="16"/>
      <c r="Q16" s="16"/>
      <c r="R16" s="16"/>
      <c r="S16" s="16"/>
      <c r="T16" s="16"/>
      <c r="U16" s="16"/>
      <c r="V16" s="16"/>
      <c r="W16" s="16"/>
      <c r="X16" s="16"/>
      <c r="Y16" s="16"/>
      <c r="Z16" s="17"/>
      <c r="AE16" s="369">
        <f>2*5000000</f>
        <v>10000000</v>
      </c>
    </row>
    <row r="17" spans="1:31" s="59" customFormat="1" ht="25.5">
      <c r="A17" s="8"/>
      <c r="B17" s="11" t="str">
        <f>+IFERROR(VLOOKUP(C17,Listas!$L$8:$M$101,2,FALSE),"")</f>
        <v>10010101</v>
      </c>
      <c r="C17" s="334" t="s">
        <v>471</v>
      </c>
      <c r="D17" s="274"/>
      <c r="E17" s="275"/>
      <c r="F17" s="635"/>
      <c r="G17" s="667"/>
      <c r="H17" s="365" t="str">
        <f>+IF(I17=""," ",VLOOKUP(I17,Listas!$I$8:$J$10,2,FALSE))</f>
        <v>02</v>
      </c>
      <c r="I17" s="494" t="s">
        <v>464</v>
      </c>
      <c r="J17" s="366">
        <f>+IF(K17=""," ",VLOOKUP(K17,PUC!$B:$C,2,FALSE))</f>
        <v>6208021602</v>
      </c>
      <c r="K17" s="367" t="s">
        <v>808</v>
      </c>
      <c r="L17" s="368" t="str">
        <f>+IF(M17=""," ",VLOOKUP(M17,Listas!$F$9:$G$17,2,FALSE))</f>
        <v>02</v>
      </c>
      <c r="M17" s="474" t="s">
        <v>444</v>
      </c>
      <c r="N17" s="369">
        <f t="shared" si="0"/>
        <v>4174000</v>
      </c>
      <c r="O17" s="15"/>
      <c r="P17" s="16"/>
      <c r="Q17" s="16"/>
      <c r="R17" s="16"/>
      <c r="S17" s="16"/>
      <c r="T17" s="16"/>
      <c r="U17" s="16"/>
      <c r="V17" s="16"/>
      <c r="W17" s="16"/>
      <c r="X17" s="16"/>
      <c r="Y17" s="16"/>
      <c r="Z17" s="17"/>
      <c r="AE17" s="369">
        <f>+MROUND(828116*12*1.05,1000)*2</f>
        <v>20868000</v>
      </c>
    </row>
    <row r="18" spans="1:31" s="59" customFormat="1" ht="25.5">
      <c r="A18" s="8"/>
      <c r="B18" s="11" t="str">
        <f>+IFERROR(VLOOKUP(C18,Listas!$L$8:$M$101,2,FALSE),"")</f>
        <v>10010101</v>
      </c>
      <c r="C18" s="334" t="s">
        <v>471</v>
      </c>
      <c r="D18" s="274"/>
      <c r="E18" s="275"/>
      <c r="F18" s="453"/>
      <c r="G18" s="454" t="s">
        <v>1335</v>
      </c>
      <c r="H18" s="365" t="str">
        <f>+IF(I18=""," ",VLOOKUP(I18,Listas!$I$8:$J$10,2,FALSE))</f>
        <v>02</v>
      </c>
      <c r="I18" s="494" t="s">
        <v>464</v>
      </c>
      <c r="J18" s="366">
        <f>+IF(K18=""," ",VLOOKUP(K18,PUC!$B:$C,2,FALSE))</f>
        <v>6208020501</v>
      </c>
      <c r="K18" s="367" t="s">
        <v>803</v>
      </c>
      <c r="L18" s="368" t="str">
        <f>+IF(M18=""," ",VLOOKUP(M18,Listas!$F$9:$G$17,2,FALSE))</f>
        <v>02</v>
      </c>
      <c r="M18" s="474" t="s">
        <v>444</v>
      </c>
      <c r="N18" s="369">
        <f t="shared" si="0"/>
        <v>2016000</v>
      </c>
      <c r="O18" s="15"/>
      <c r="P18" s="16"/>
      <c r="Q18" s="16"/>
      <c r="R18" s="16"/>
      <c r="S18" s="16"/>
      <c r="T18" s="16"/>
      <c r="U18" s="16"/>
      <c r="V18" s="16"/>
      <c r="W18" s="16"/>
      <c r="X18" s="16"/>
      <c r="Y18" s="16"/>
      <c r="Z18" s="17"/>
      <c r="AE18" s="369">
        <f>+MROUND(2400000*1.05*4,1000)</f>
        <v>10080000</v>
      </c>
    </row>
    <row r="19" spans="1:31" s="59" customFormat="1" ht="25.5">
      <c r="A19" s="8"/>
      <c r="B19" s="11" t="str">
        <f>+IFERROR(VLOOKUP(C19,Listas!$L$8:$M$101,2,FALSE),"")</f>
        <v>10010101</v>
      </c>
      <c r="C19" s="334" t="s">
        <v>471</v>
      </c>
      <c r="D19" s="274"/>
      <c r="E19" s="275"/>
      <c r="F19" s="453"/>
      <c r="G19" s="454" t="s">
        <v>1338</v>
      </c>
      <c r="H19" s="365" t="str">
        <f>+IF(I19=""," ",VLOOKUP(I19,Listas!$I$8:$J$10,2,FALSE))</f>
        <v>02</v>
      </c>
      <c r="I19" s="494" t="s">
        <v>464</v>
      </c>
      <c r="J19" s="366">
        <f>+IF(K19=""," ",VLOOKUP(K19,PUC!$B:$C,2,FALSE))</f>
        <v>6208020503</v>
      </c>
      <c r="K19" s="367" t="s">
        <v>805</v>
      </c>
      <c r="L19" s="368" t="str">
        <f>+IF(M19=""," ",VLOOKUP(M19,Listas!$F$9:$G$17,2,FALSE))</f>
        <v>02</v>
      </c>
      <c r="M19" s="474" t="s">
        <v>444</v>
      </c>
      <c r="N19" s="369">
        <f t="shared" si="0"/>
        <v>480000</v>
      </c>
      <c r="O19" s="15"/>
      <c r="P19" s="16"/>
      <c r="Q19" s="16"/>
      <c r="R19" s="16"/>
      <c r="S19" s="16"/>
      <c r="T19" s="16"/>
      <c r="U19" s="16"/>
      <c r="V19" s="16"/>
      <c r="W19" s="16"/>
      <c r="X19" s="16"/>
      <c r="Y19" s="16"/>
      <c r="Z19" s="17"/>
      <c r="AE19" s="369">
        <f>600000*4</f>
        <v>2400000</v>
      </c>
    </row>
    <row r="20" spans="1:31" s="59" customFormat="1" ht="33.75" customHeight="1">
      <c r="A20" s="8"/>
      <c r="B20" s="11" t="str">
        <f>+IFERROR(VLOOKUP(C20,Listas!$L$8:$M$101,2,FALSE),"")</f>
        <v>10010101</v>
      </c>
      <c r="C20" s="334" t="s">
        <v>471</v>
      </c>
      <c r="D20" s="274"/>
      <c r="E20" s="275"/>
      <c r="F20" s="634" t="s">
        <v>1009</v>
      </c>
      <c r="G20" s="364" t="s">
        <v>1010</v>
      </c>
      <c r="H20" s="365" t="str">
        <f>+IF(I20=""," ",VLOOKUP(I20,Listas!$I$8:$J$10,2,FALSE))</f>
        <v>02</v>
      </c>
      <c r="I20" s="494" t="s">
        <v>464</v>
      </c>
      <c r="J20" s="366">
        <f>+IF(K20=""," ",VLOOKUP(K20,PUC!$B:$C,2,FALSE))</f>
        <v>6208021401</v>
      </c>
      <c r="K20" s="367" t="s">
        <v>868</v>
      </c>
      <c r="L20" s="368" t="str">
        <f>+IF(M20=""," ",VLOOKUP(M20,Listas!$F$9:$G$17,2,FALSE))</f>
        <v>02</v>
      </c>
      <c r="M20" s="474" t="s">
        <v>444</v>
      </c>
      <c r="N20" s="369">
        <f t="shared" si="0"/>
        <v>0</v>
      </c>
      <c r="O20" s="15"/>
      <c r="P20" s="16"/>
      <c r="Q20" s="16"/>
      <c r="R20" s="16"/>
      <c r="S20" s="16"/>
      <c r="T20" s="16"/>
      <c r="U20" s="16"/>
      <c r="V20" s="16"/>
      <c r="W20" s="16"/>
      <c r="X20" s="16"/>
      <c r="Y20" s="16"/>
      <c r="Z20" s="17"/>
      <c r="AE20" s="369"/>
    </row>
    <row r="21" spans="1:31" s="59" customFormat="1" ht="37.5" customHeight="1">
      <c r="A21" s="8"/>
      <c r="B21" s="11" t="str">
        <f>+IFERROR(VLOOKUP(C21,Listas!$L$8:$M$101,2,FALSE),"")</f>
        <v>10010101</v>
      </c>
      <c r="C21" s="334" t="s">
        <v>471</v>
      </c>
      <c r="D21" s="274"/>
      <c r="E21" s="275"/>
      <c r="F21" s="635"/>
      <c r="G21" s="357" t="s">
        <v>1011</v>
      </c>
      <c r="H21" s="9" t="str">
        <f>+IF(I21=""," ",VLOOKUP(I21,Listas!$I$8:$J$10,2,FALSE))</f>
        <v xml:space="preserve"> </v>
      </c>
      <c r="I21" s="495"/>
      <c r="J21" s="356" t="str">
        <f>+IF(K21=""," ",VLOOKUP(K21,PUC!$B:$C,2,FALSE))</f>
        <v xml:space="preserve"> </v>
      </c>
      <c r="K21" s="334"/>
      <c r="L21" s="11" t="str">
        <f>+IF(M21=""," ",VLOOKUP(M21,Listas!$F$9:$G$17,2,FALSE))</f>
        <v xml:space="preserve"> </v>
      </c>
      <c r="M21" s="475"/>
      <c r="N21" s="345">
        <f t="shared" si="0"/>
        <v>0</v>
      </c>
      <c r="O21" s="15"/>
      <c r="P21" s="16"/>
      <c r="Q21" s="16"/>
      <c r="R21" s="16"/>
      <c r="S21" s="16"/>
      <c r="T21" s="16"/>
      <c r="U21" s="16"/>
      <c r="V21" s="16"/>
      <c r="W21" s="16"/>
      <c r="X21" s="16"/>
      <c r="Y21" s="16"/>
      <c r="Z21" s="17"/>
      <c r="AE21" s="345"/>
    </row>
    <row r="22" spans="1:31" s="59" customFormat="1" ht="36" customHeight="1">
      <c r="A22" s="8"/>
      <c r="B22" s="11" t="str">
        <f>+IFERROR(VLOOKUP(C22,Listas!$L$8:$M$101,2,FALSE),"")</f>
        <v>10010101</v>
      </c>
      <c r="C22" s="334" t="s">
        <v>471</v>
      </c>
      <c r="D22" s="274"/>
      <c r="E22" s="275"/>
      <c r="F22" s="634" t="s">
        <v>1012</v>
      </c>
      <c r="G22" s="357" t="s">
        <v>1013</v>
      </c>
      <c r="H22" s="9" t="str">
        <f>+IF(I22=""," ",VLOOKUP(I22,Listas!$I$8:$J$10,2,FALSE))</f>
        <v xml:space="preserve"> </v>
      </c>
      <c r="I22" s="495"/>
      <c r="J22" s="356" t="str">
        <f>+IF(K22=""," ",VLOOKUP(K22,PUC!$B:$C,2,FALSE))</f>
        <v xml:space="preserve"> </v>
      </c>
      <c r="K22" s="334"/>
      <c r="L22" s="11" t="str">
        <f>+IF(M22=""," ",VLOOKUP(M22,Listas!$F$9:$G$17,2,FALSE))</f>
        <v xml:space="preserve"> </v>
      </c>
      <c r="M22" s="475"/>
      <c r="N22" s="345">
        <f t="shared" si="0"/>
        <v>0</v>
      </c>
      <c r="O22" s="15"/>
      <c r="P22" s="16"/>
      <c r="Q22" s="16"/>
      <c r="R22" s="16"/>
      <c r="S22" s="16"/>
      <c r="T22" s="16"/>
      <c r="U22" s="16"/>
      <c r="V22" s="16"/>
      <c r="W22" s="16"/>
      <c r="X22" s="16"/>
      <c r="Y22" s="16"/>
      <c r="Z22" s="17"/>
      <c r="AE22" s="345"/>
    </row>
    <row r="23" spans="1:31" s="59" customFormat="1" ht="36" customHeight="1">
      <c r="A23" s="8"/>
      <c r="B23" s="11" t="str">
        <f>+IFERROR(VLOOKUP(C23,Listas!$L$8:$M$101,2,FALSE),"")</f>
        <v>10010101</v>
      </c>
      <c r="C23" s="334" t="s">
        <v>471</v>
      </c>
      <c r="D23" s="274"/>
      <c r="E23" s="275"/>
      <c r="F23" s="637"/>
      <c r="G23" s="357" t="s">
        <v>1014</v>
      </c>
      <c r="H23" s="9" t="str">
        <f>+IF(I23=""," ",VLOOKUP(I23,Listas!$I$8:$J$10,2,FALSE))</f>
        <v xml:space="preserve"> </v>
      </c>
      <c r="I23" s="495"/>
      <c r="J23" s="356" t="str">
        <f>+IF(K23=""," ",VLOOKUP(K23,PUC!$B:$C,2,FALSE))</f>
        <v xml:space="preserve"> </v>
      </c>
      <c r="K23" s="334"/>
      <c r="L23" s="11" t="str">
        <f>+IF(M23=""," ",VLOOKUP(M23,Listas!$F$9:$G$17,2,FALSE))</f>
        <v xml:space="preserve"> </v>
      </c>
      <c r="M23" s="475"/>
      <c r="N23" s="345">
        <f t="shared" si="0"/>
        <v>0</v>
      </c>
      <c r="O23" s="15"/>
      <c r="P23" s="16"/>
      <c r="Q23" s="16"/>
      <c r="R23" s="16"/>
      <c r="S23" s="16"/>
      <c r="T23" s="16"/>
      <c r="U23" s="16"/>
      <c r="V23" s="16"/>
      <c r="W23" s="16"/>
      <c r="X23" s="16"/>
      <c r="Y23" s="16"/>
      <c r="Z23" s="17"/>
      <c r="AE23" s="345"/>
    </row>
    <row r="24" spans="1:31" s="59" customFormat="1" ht="36" customHeight="1" thickBot="1">
      <c r="A24" s="8"/>
      <c r="B24" s="11" t="str">
        <f>+IFERROR(VLOOKUP(C24,Listas!$L$8:$M$101,2,FALSE),"")</f>
        <v>10010101</v>
      </c>
      <c r="C24" s="334" t="s">
        <v>471</v>
      </c>
      <c r="D24" s="274"/>
      <c r="E24" s="275"/>
      <c r="F24" s="635"/>
      <c r="G24" s="357" t="s">
        <v>1015</v>
      </c>
      <c r="H24" s="9" t="str">
        <f>+IF(I24=""," ",VLOOKUP(I24,Listas!$I$8:$J$10,2,FALSE))</f>
        <v xml:space="preserve"> </v>
      </c>
      <c r="I24" s="495"/>
      <c r="J24" s="356" t="str">
        <f>+IF(K24=""," ",VLOOKUP(K24,PUC!$B:$C,2,FALSE))</f>
        <v xml:space="preserve"> </v>
      </c>
      <c r="K24" s="334"/>
      <c r="L24" s="11" t="str">
        <f>+IF(M24=""," ",VLOOKUP(M24,Listas!$F$9:$G$17,2,FALSE))</f>
        <v xml:space="preserve"> </v>
      </c>
      <c r="M24" s="475"/>
      <c r="N24" s="345">
        <f t="shared" si="0"/>
        <v>0</v>
      </c>
      <c r="O24" s="15"/>
      <c r="P24" s="16"/>
      <c r="Q24" s="16"/>
      <c r="R24" s="16"/>
      <c r="S24" s="16"/>
      <c r="T24" s="16"/>
      <c r="U24" s="16"/>
      <c r="V24" s="16"/>
      <c r="W24" s="16"/>
      <c r="X24" s="16"/>
      <c r="Y24" s="16"/>
      <c r="Z24" s="17"/>
      <c r="AE24" s="345"/>
    </row>
    <row r="25" spans="1:31" s="59" customFormat="1" ht="29.25" hidden="1" customHeight="1">
      <c r="A25" s="8"/>
      <c r="B25" s="11" t="str">
        <f>+IFERROR(VLOOKUP(C25,Listas!$L$8:$M$101,2,FALSE),"")</f>
        <v>10010101</v>
      </c>
      <c r="C25" s="334" t="s">
        <v>471</v>
      </c>
      <c r="D25" s="274"/>
      <c r="E25" s="275"/>
      <c r="F25" s="274"/>
      <c r="G25" s="275"/>
      <c r="H25" s="9" t="str">
        <f>+IF(I25=""," ",VLOOKUP(I25,Listas!$I$8:$J$10,2,FALSE))</f>
        <v xml:space="preserve"> </v>
      </c>
      <c r="I25" s="495"/>
      <c r="J25" s="356" t="str">
        <f>+IF(K25=""," ",VLOOKUP(K25,PUC!$B:$C,2,FALSE))</f>
        <v xml:space="preserve"> </v>
      </c>
      <c r="K25" s="334"/>
      <c r="L25" s="11" t="str">
        <f>+IF(M25=""," ",VLOOKUP(M25,Listas!$F$9:$G$17,2,FALSE))</f>
        <v xml:space="preserve"> </v>
      </c>
      <c r="M25" s="475"/>
      <c r="N25" s="345">
        <f t="shared" si="0"/>
        <v>0</v>
      </c>
      <c r="O25" s="15"/>
      <c r="P25" s="16"/>
      <c r="Q25" s="16"/>
      <c r="R25" s="16"/>
      <c r="S25" s="16"/>
      <c r="T25" s="16"/>
      <c r="U25" s="16"/>
      <c r="V25" s="16"/>
      <c r="W25" s="16"/>
      <c r="X25" s="16"/>
      <c r="Y25" s="16"/>
      <c r="Z25" s="17"/>
      <c r="AE25" s="345"/>
    </row>
    <row r="26" spans="1:31" s="59" customFormat="1" ht="29.25" hidden="1" customHeight="1">
      <c r="A26" s="8"/>
      <c r="B26" s="11" t="str">
        <f>+IFERROR(VLOOKUP(C26,Listas!$L$8:$M$101,2,FALSE),"")</f>
        <v>10010101</v>
      </c>
      <c r="C26" s="334" t="s">
        <v>471</v>
      </c>
      <c r="D26" s="274"/>
      <c r="E26" s="275"/>
      <c r="F26" s="274"/>
      <c r="G26" s="275"/>
      <c r="H26" s="9" t="str">
        <f>+IF(I26=""," ",VLOOKUP(I26,Listas!$I$8:$J$10,2,FALSE))</f>
        <v xml:space="preserve"> </v>
      </c>
      <c r="I26" s="495"/>
      <c r="J26" s="356" t="str">
        <f>+IF(K26=""," ",VLOOKUP(K26,PUC!$B:$C,2,FALSE))</f>
        <v xml:space="preserve"> </v>
      </c>
      <c r="K26" s="334"/>
      <c r="L26" s="11" t="str">
        <f>+IF(M26=""," ",VLOOKUP(M26,Listas!$F$9:$G$17,2,FALSE))</f>
        <v xml:space="preserve"> </v>
      </c>
      <c r="M26" s="475"/>
      <c r="N26" s="345">
        <f t="shared" si="0"/>
        <v>0</v>
      </c>
      <c r="O26" s="15"/>
      <c r="P26" s="16"/>
      <c r="Q26" s="16"/>
      <c r="R26" s="16"/>
      <c r="S26" s="16"/>
      <c r="T26" s="16"/>
      <c r="U26" s="16"/>
      <c r="V26" s="16"/>
      <c r="W26" s="16"/>
      <c r="X26" s="16"/>
      <c r="Y26" s="16"/>
      <c r="Z26" s="17"/>
      <c r="AE26" s="345"/>
    </row>
    <row r="27" spans="1:31" s="59" customFormat="1" ht="29.25" hidden="1" customHeight="1">
      <c r="A27" s="8"/>
      <c r="B27" s="11" t="str">
        <f>+IFERROR(VLOOKUP(C27,Listas!$L$8:$M$101,2,FALSE),"")</f>
        <v>10010101</v>
      </c>
      <c r="C27" s="334" t="s">
        <v>471</v>
      </c>
      <c r="D27" s="274"/>
      <c r="E27" s="275"/>
      <c r="F27" s="274"/>
      <c r="G27" s="275"/>
      <c r="H27" s="9" t="str">
        <f>+IF(I27=""," ",VLOOKUP(I27,Listas!$I$8:$J$10,2,FALSE))</f>
        <v xml:space="preserve"> </v>
      </c>
      <c r="I27" s="495"/>
      <c r="J27" s="356" t="str">
        <f>+IF(K27=""," ",VLOOKUP(K27,PUC!$B:$C,2,FALSE))</f>
        <v xml:space="preserve"> </v>
      </c>
      <c r="K27" s="334"/>
      <c r="L27" s="11" t="str">
        <f>+IF(M27=""," ",VLOOKUP(M27,Listas!$F$9:$G$17,2,FALSE))</f>
        <v xml:space="preserve"> </v>
      </c>
      <c r="M27" s="475"/>
      <c r="N27" s="345">
        <f t="shared" si="0"/>
        <v>0</v>
      </c>
      <c r="O27" s="15"/>
      <c r="P27" s="16"/>
      <c r="Q27" s="16"/>
      <c r="R27" s="16"/>
      <c r="S27" s="16"/>
      <c r="T27" s="16"/>
      <c r="U27" s="16"/>
      <c r="V27" s="16"/>
      <c r="W27" s="16"/>
      <c r="X27" s="16"/>
      <c r="Y27" s="16"/>
      <c r="Z27" s="17"/>
      <c r="AE27" s="345"/>
    </row>
    <row r="28" spans="1:31" s="59" customFormat="1" ht="29.25" hidden="1" customHeight="1">
      <c r="A28" s="8"/>
      <c r="B28" s="11" t="str">
        <f>+IFERROR(VLOOKUP(C28,Listas!$L$8:$M$101,2,FALSE),"")</f>
        <v>10010101</v>
      </c>
      <c r="C28" s="334" t="s">
        <v>471</v>
      </c>
      <c r="D28" s="274"/>
      <c r="E28" s="275"/>
      <c r="F28" s="274"/>
      <c r="G28" s="275"/>
      <c r="H28" s="9" t="str">
        <f>+IF(I28=""," ",VLOOKUP(I28,Listas!$I$8:$J$10,2,FALSE))</f>
        <v xml:space="preserve"> </v>
      </c>
      <c r="I28" s="495"/>
      <c r="J28" s="356" t="str">
        <f>+IF(K28=""," ",VLOOKUP(K28,PUC!$B:$C,2,FALSE))</f>
        <v xml:space="preserve"> </v>
      </c>
      <c r="K28" s="334"/>
      <c r="L28" s="11" t="str">
        <f>+IF(M28=""," ",VLOOKUP(M28,Listas!$F$9:$G$17,2,FALSE))</f>
        <v xml:space="preserve"> </v>
      </c>
      <c r="M28" s="475"/>
      <c r="N28" s="345">
        <f t="shared" si="0"/>
        <v>0</v>
      </c>
      <c r="O28" s="15"/>
      <c r="P28" s="16"/>
      <c r="Q28" s="16"/>
      <c r="R28" s="16"/>
      <c r="S28" s="16"/>
      <c r="T28" s="16"/>
      <c r="U28" s="16"/>
      <c r="V28" s="16"/>
      <c r="W28" s="16"/>
      <c r="X28" s="16"/>
      <c r="Y28" s="16"/>
      <c r="Z28" s="17"/>
      <c r="AE28" s="345"/>
    </row>
    <row r="29" spans="1:31" s="59" customFormat="1" ht="29.25" hidden="1" customHeight="1">
      <c r="A29" s="8"/>
      <c r="B29" s="11" t="str">
        <f>+IFERROR(VLOOKUP(C29,Listas!$L$8:$M$101,2,FALSE),"")</f>
        <v>10010101</v>
      </c>
      <c r="C29" s="334" t="s">
        <v>471</v>
      </c>
      <c r="D29" s="274"/>
      <c r="E29" s="275"/>
      <c r="F29" s="274"/>
      <c r="G29" s="275"/>
      <c r="H29" s="9" t="str">
        <f>+IF(I29=""," ",VLOOKUP(I29,Listas!$I$8:$J$10,2,FALSE))</f>
        <v xml:space="preserve"> </v>
      </c>
      <c r="I29" s="495"/>
      <c r="J29" s="356" t="str">
        <f>+IF(K29=""," ",VLOOKUP(K29,PUC!$B:$C,2,FALSE))</f>
        <v xml:space="preserve"> </v>
      </c>
      <c r="K29" s="334"/>
      <c r="L29" s="11" t="str">
        <f>+IF(M29=""," ",VLOOKUP(M29,Listas!$F$9:$G$17,2,FALSE))</f>
        <v xml:space="preserve"> </v>
      </c>
      <c r="M29" s="475"/>
      <c r="N29" s="345">
        <f t="shared" si="0"/>
        <v>0</v>
      </c>
      <c r="O29" s="15"/>
      <c r="P29" s="16"/>
      <c r="Q29" s="16"/>
      <c r="R29" s="16"/>
      <c r="S29" s="16"/>
      <c r="T29" s="16"/>
      <c r="U29" s="16"/>
      <c r="V29" s="16"/>
      <c r="W29" s="16"/>
      <c r="X29" s="16"/>
      <c r="Y29" s="16"/>
      <c r="Z29" s="17"/>
      <c r="AE29" s="345"/>
    </row>
    <row r="30" spans="1:31" s="59" customFormat="1" ht="29.25" hidden="1" customHeight="1" thickBot="1">
      <c r="A30" s="8"/>
      <c r="B30" s="22" t="str">
        <f>+IFERROR(VLOOKUP(C30,Listas!$L$8:$M$101,2,FALSE),"")</f>
        <v>10010101</v>
      </c>
      <c r="C30" s="340" t="s">
        <v>471</v>
      </c>
      <c r="D30" s="278"/>
      <c r="E30" s="279"/>
      <c r="F30" s="278"/>
      <c r="G30" s="279"/>
      <c r="H30" s="21" t="str">
        <f>+IF(I30=""," ",VLOOKUP(I30,Listas!$I$8:$J$10,2,FALSE))</f>
        <v xml:space="preserve"> </v>
      </c>
      <c r="I30" s="496"/>
      <c r="J30" s="363" t="str">
        <f>+IF(K30=""," ",VLOOKUP(K30,PUC!$B:$C,2,FALSE))</f>
        <v xml:space="preserve"> </v>
      </c>
      <c r="K30" s="340"/>
      <c r="L30" s="22" t="str">
        <f>+IF(M30=""," ",VLOOKUP(M30,Listas!$F$9:$G$17,2,FALSE))</f>
        <v xml:space="preserve"> </v>
      </c>
      <c r="M30" s="476"/>
      <c r="N30" s="347">
        <f t="shared" si="0"/>
        <v>0</v>
      </c>
      <c r="O30" s="23"/>
      <c r="P30" s="24"/>
      <c r="Q30" s="24"/>
      <c r="R30" s="24"/>
      <c r="S30" s="24"/>
      <c r="T30" s="24"/>
      <c r="U30" s="24"/>
      <c r="V30" s="24"/>
      <c r="W30" s="24"/>
      <c r="X30" s="24"/>
      <c r="Y30" s="24"/>
      <c r="Z30" s="25"/>
      <c r="AE30" s="347"/>
    </row>
    <row r="31" spans="1:31" s="59" customFormat="1" ht="38.25">
      <c r="A31" s="8"/>
      <c r="B31" s="20" t="str">
        <f>+IFERROR(VLOOKUP(C31,Listas!$L$8:$M$101,2,FALSE),"")</f>
        <v>10010102</v>
      </c>
      <c r="C31" s="339" t="s">
        <v>472</v>
      </c>
      <c r="D31" s="276"/>
      <c r="E31" s="277"/>
      <c r="F31" s="670" t="s">
        <v>1034</v>
      </c>
      <c r="G31" s="361" t="s">
        <v>1016</v>
      </c>
      <c r="H31" s="18" t="str">
        <f>+IF(I31=""," ",VLOOKUP(I31,Listas!$I$8:$J$10,2,FALSE))</f>
        <v xml:space="preserve"> </v>
      </c>
      <c r="I31" s="497"/>
      <c r="J31" s="362" t="str">
        <f>+IF(K31=""," ",VLOOKUP(K31,PUC!$B:$C,2,FALSE))</f>
        <v xml:space="preserve"> </v>
      </c>
      <c r="K31" s="339"/>
      <c r="L31" s="20" t="str">
        <f>+IF(M31=""," ",VLOOKUP(M31,Listas!$F$9:$G$17,2,FALSE))</f>
        <v xml:space="preserve"> </v>
      </c>
      <c r="M31" s="477"/>
      <c r="N31" s="346">
        <f t="shared" si="0"/>
        <v>0</v>
      </c>
      <c r="O31" s="12"/>
      <c r="P31" s="13"/>
      <c r="Q31" s="13"/>
      <c r="R31" s="13"/>
      <c r="S31" s="13"/>
      <c r="T31" s="13"/>
      <c r="U31" s="13"/>
      <c r="V31" s="13"/>
      <c r="W31" s="13"/>
      <c r="X31" s="13"/>
      <c r="Y31" s="13"/>
      <c r="Z31" s="14"/>
      <c r="AE31" s="346"/>
    </row>
    <row r="32" spans="1:31" s="59" customFormat="1" ht="38.25">
      <c r="A32" s="8"/>
      <c r="B32" s="11" t="str">
        <f>+IFERROR(VLOOKUP(C32,Listas!$L$8:$M$101,2,FALSE),"")</f>
        <v>10010102</v>
      </c>
      <c r="C32" s="334" t="s">
        <v>472</v>
      </c>
      <c r="D32" s="274"/>
      <c r="E32" s="275"/>
      <c r="F32" s="671"/>
      <c r="G32" s="357" t="s">
        <v>1017</v>
      </c>
      <c r="H32" s="9" t="str">
        <f>+IF(I32=""," ",VLOOKUP(I32,Listas!$I$8:$J$10,2,FALSE))</f>
        <v xml:space="preserve"> </v>
      </c>
      <c r="I32" s="495"/>
      <c r="J32" s="356" t="str">
        <f>+IF(K32=""," ",VLOOKUP(K32,PUC!$B:$C,2,FALSE))</f>
        <v xml:space="preserve"> </v>
      </c>
      <c r="K32" s="334"/>
      <c r="L32" s="11" t="str">
        <f>+IF(M32=""," ",VLOOKUP(M32,Listas!$F$9:$G$17,2,FALSE))</f>
        <v xml:space="preserve"> </v>
      </c>
      <c r="M32" s="475"/>
      <c r="N32" s="345">
        <f t="shared" si="0"/>
        <v>0</v>
      </c>
      <c r="O32" s="15"/>
      <c r="P32" s="16"/>
      <c r="Q32" s="16"/>
      <c r="R32" s="16"/>
      <c r="S32" s="16"/>
      <c r="T32" s="16"/>
      <c r="U32" s="16"/>
      <c r="V32" s="16"/>
      <c r="W32" s="16"/>
      <c r="X32" s="16"/>
      <c r="Y32" s="16"/>
      <c r="Z32" s="17"/>
      <c r="AE32" s="345"/>
    </row>
    <row r="33" spans="1:31" s="59" customFormat="1" ht="51">
      <c r="A33" s="8"/>
      <c r="B33" s="11" t="str">
        <f>+IFERROR(VLOOKUP(C33,Listas!$L$8:$M$101,2,FALSE),"")</f>
        <v>10010102</v>
      </c>
      <c r="C33" s="334" t="s">
        <v>472</v>
      </c>
      <c r="D33" s="274"/>
      <c r="E33" s="275"/>
      <c r="F33" s="671"/>
      <c r="G33" s="357" t="s">
        <v>1018</v>
      </c>
      <c r="H33" s="9" t="str">
        <f>+IF(I33=""," ",VLOOKUP(I33,Listas!$I$8:$J$10,2,FALSE))</f>
        <v xml:space="preserve"> </v>
      </c>
      <c r="I33" s="495"/>
      <c r="J33" s="356" t="str">
        <f>+IF(K33=""," ",VLOOKUP(K33,PUC!$B:$C,2,FALSE))</f>
        <v xml:space="preserve"> </v>
      </c>
      <c r="K33" s="334"/>
      <c r="L33" s="11" t="str">
        <f>+IF(M33=""," ",VLOOKUP(M33,Listas!$F$9:$G$17,2,FALSE))</f>
        <v xml:space="preserve"> </v>
      </c>
      <c r="M33" s="475"/>
      <c r="N33" s="345">
        <f t="shared" si="0"/>
        <v>0</v>
      </c>
      <c r="O33" s="15"/>
      <c r="P33" s="16"/>
      <c r="Q33" s="16"/>
      <c r="R33" s="16"/>
      <c r="S33" s="16"/>
      <c r="T33" s="16"/>
      <c r="U33" s="16"/>
      <c r="V33" s="16"/>
      <c r="W33" s="16"/>
      <c r="X33" s="16"/>
      <c r="Y33" s="16"/>
      <c r="Z33" s="17"/>
      <c r="AE33" s="345"/>
    </row>
    <row r="34" spans="1:31" s="59" customFormat="1" ht="51">
      <c r="A34" s="8"/>
      <c r="B34" s="11" t="str">
        <f>+IFERROR(VLOOKUP(C34,Listas!$L$8:$M$101,2,FALSE),"")</f>
        <v>10010102</v>
      </c>
      <c r="C34" s="334" t="s">
        <v>472</v>
      </c>
      <c r="D34" s="274"/>
      <c r="E34" s="275"/>
      <c r="F34" s="671"/>
      <c r="G34" s="357" t="s">
        <v>1019</v>
      </c>
      <c r="H34" s="9" t="str">
        <f>+IF(I34=""," ",VLOOKUP(I34,Listas!$I$8:$J$10,2,FALSE))</f>
        <v xml:space="preserve"> </v>
      </c>
      <c r="I34" s="495"/>
      <c r="J34" s="356" t="str">
        <f>+IF(K34=""," ",VLOOKUP(K34,PUC!$B:$C,2,FALSE))</f>
        <v xml:space="preserve"> </v>
      </c>
      <c r="K34" s="334"/>
      <c r="L34" s="11" t="str">
        <f>+IF(M34=""," ",VLOOKUP(M34,Listas!$F$9:$G$17,2,FALSE))</f>
        <v xml:space="preserve"> </v>
      </c>
      <c r="M34" s="475"/>
      <c r="N34" s="345">
        <f t="shared" si="0"/>
        <v>0</v>
      </c>
      <c r="O34" s="15"/>
      <c r="P34" s="16"/>
      <c r="Q34" s="16"/>
      <c r="R34" s="16"/>
      <c r="S34" s="16"/>
      <c r="T34" s="16"/>
      <c r="U34" s="16"/>
      <c r="V34" s="16"/>
      <c r="W34" s="16"/>
      <c r="X34" s="16"/>
      <c r="Y34" s="16"/>
      <c r="Z34" s="17"/>
      <c r="AE34" s="345"/>
    </row>
    <row r="35" spans="1:31" s="59" customFormat="1" ht="38.25">
      <c r="A35" s="8"/>
      <c r="B35" s="11" t="str">
        <f>+IFERROR(VLOOKUP(C35,Listas!$L$8:$M$101,2,FALSE),"")</f>
        <v>10010102</v>
      </c>
      <c r="C35" s="334" t="s">
        <v>472</v>
      </c>
      <c r="D35" s="274"/>
      <c r="E35" s="275"/>
      <c r="F35" s="671"/>
      <c r="G35" s="357" t="s">
        <v>1020</v>
      </c>
      <c r="H35" s="9" t="str">
        <f>+IF(I35=""," ",VLOOKUP(I35,Listas!$I$8:$J$10,2,FALSE))</f>
        <v xml:space="preserve"> </v>
      </c>
      <c r="I35" s="495"/>
      <c r="J35" s="356" t="str">
        <f>+IF(K35=""," ",VLOOKUP(K35,PUC!$B:$C,2,FALSE))</f>
        <v xml:space="preserve"> </v>
      </c>
      <c r="K35" s="334"/>
      <c r="L35" s="11" t="str">
        <f>+IF(M35=""," ",VLOOKUP(M35,Listas!$F$9:$G$17,2,FALSE))</f>
        <v xml:space="preserve"> </v>
      </c>
      <c r="M35" s="475"/>
      <c r="N35" s="345">
        <f t="shared" si="0"/>
        <v>0</v>
      </c>
      <c r="O35" s="15"/>
      <c r="P35" s="16"/>
      <c r="Q35" s="16"/>
      <c r="R35" s="16"/>
      <c r="S35" s="16"/>
      <c r="T35" s="16"/>
      <c r="U35" s="16"/>
      <c r="V35" s="16"/>
      <c r="W35" s="16"/>
      <c r="X35" s="16"/>
      <c r="Y35" s="16"/>
      <c r="Z35" s="17"/>
      <c r="AE35" s="345"/>
    </row>
    <row r="36" spans="1:31" s="59" customFormat="1" ht="25.5">
      <c r="A36" s="8"/>
      <c r="B36" s="11" t="str">
        <f>+IFERROR(VLOOKUP(C36,Listas!$L$8:$M$101,2,FALSE),"")</f>
        <v>10010102</v>
      </c>
      <c r="C36" s="334" t="s">
        <v>472</v>
      </c>
      <c r="D36" s="274"/>
      <c r="E36" s="275"/>
      <c r="F36" s="671"/>
      <c r="G36" s="357" t="s">
        <v>1021</v>
      </c>
      <c r="H36" s="9" t="str">
        <f>+IF(I36=""," ",VLOOKUP(I36,Listas!$I$8:$J$10,2,FALSE))</f>
        <v xml:space="preserve"> </v>
      </c>
      <c r="I36" s="495"/>
      <c r="J36" s="356" t="str">
        <f>+IF(K36=""," ",VLOOKUP(K36,PUC!$B:$C,2,FALSE))</f>
        <v xml:space="preserve"> </v>
      </c>
      <c r="K36" s="334"/>
      <c r="L36" s="11" t="str">
        <f>+IF(M36=""," ",VLOOKUP(M36,Listas!$F$9:$G$17,2,FALSE))</f>
        <v xml:space="preserve"> </v>
      </c>
      <c r="M36" s="475"/>
      <c r="N36" s="345">
        <f t="shared" si="0"/>
        <v>0</v>
      </c>
      <c r="O36" s="15"/>
      <c r="P36" s="16"/>
      <c r="Q36" s="16"/>
      <c r="R36" s="16"/>
      <c r="S36" s="16"/>
      <c r="T36" s="16"/>
      <c r="U36" s="16"/>
      <c r="V36" s="16"/>
      <c r="W36" s="16"/>
      <c r="X36" s="16"/>
      <c r="Y36" s="16"/>
      <c r="Z36" s="17"/>
      <c r="AE36" s="345"/>
    </row>
    <row r="37" spans="1:31" s="59" customFormat="1" ht="25.5">
      <c r="A37" s="8"/>
      <c r="B37" s="11" t="str">
        <f>+IFERROR(VLOOKUP(C37,Listas!$L$8:$M$101,2,FALSE),"")</f>
        <v>10010102</v>
      </c>
      <c r="C37" s="334" t="s">
        <v>472</v>
      </c>
      <c r="D37" s="274"/>
      <c r="E37" s="275"/>
      <c r="F37" s="672"/>
      <c r="G37" s="357" t="s">
        <v>1022</v>
      </c>
      <c r="H37" s="9" t="str">
        <f>+IF(I37=""," ",VLOOKUP(I37,Listas!$I$8:$J$10,2,FALSE))</f>
        <v xml:space="preserve"> </v>
      </c>
      <c r="I37" s="495"/>
      <c r="J37" s="356" t="str">
        <f>+IF(K37=""," ",VLOOKUP(K37,PUC!$B:$C,2,FALSE))</f>
        <v xml:space="preserve"> </v>
      </c>
      <c r="K37" s="334"/>
      <c r="L37" s="11" t="str">
        <f>+IF(M37=""," ",VLOOKUP(M37,Listas!$F$9:$G$17,2,FALSE))</f>
        <v xml:space="preserve"> </v>
      </c>
      <c r="M37" s="475"/>
      <c r="N37" s="345">
        <f t="shared" si="0"/>
        <v>0</v>
      </c>
      <c r="O37" s="15"/>
      <c r="P37" s="16"/>
      <c r="Q37" s="16"/>
      <c r="R37" s="16"/>
      <c r="S37" s="16"/>
      <c r="T37" s="16"/>
      <c r="U37" s="16"/>
      <c r="V37" s="16"/>
      <c r="W37" s="16"/>
      <c r="X37" s="16"/>
      <c r="Y37" s="16"/>
      <c r="Z37" s="17"/>
      <c r="AE37" s="345"/>
    </row>
    <row r="38" spans="1:31" s="59" customFormat="1" ht="25.5">
      <c r="A38" s="8"/>
      <c r="B38" s="11" t="str">
        <f>+IFERROR(VLOOKUP(C38,Listas!$L$8:$M$101,2,FALSE),"")</f>
        <v>10010102</v>
      </c>
      <c r="C38" s="334" t="s">
        <v>472</v>
      </c>
      <c r="D38" s="274"/>
      <c r="E38" s="275"/>
      <c r="F38" s="668" t="s">
        <v>1035</v>
      </c>
      <c r="G38" s="376" t="s">
        <v>1023</v>
      </c>
      <c r="H38" s="377" t="str">
        <f>+IF(I38=""," ",VLOOKUP(I38,Listas!$I$8:$J$10,2,FALSE))</f>
        <v>03</v>
      </c>
      <c r="I38" s="498" t="s">
        <v>465</v>
      </c>
      <c r="J38" s="378">
        <f>+IF(K38=""," ",VLOOKUP(K38,PUC!$B:$C,2,FALSE))</f>
        <v>1520050104</v>
      </c>
      <c r="K38" s="379" t="s">
        <v>908</v>
      </c>
      <c r="L38" s="380" t="str">
        <f>+IF(M38=""," ",VLOOKUP(M38,Listas!$F$9:$G$17,2,FALSE))</f>
        <v>02</v>
      </c>
      <c r="M38" s="478" t="s">
        <v>444</v>
      </c>
      <c r="N38" s="381">
        <v>1050000</v>
      </c>
      <c r="O38" s="15" t="s">
        <v>1327</v>
      </c>
      <c r="P38" s="16"/>
      <c r="Q38" s="16"/>
      <c r="R38" s="16"/>
      <c r="S38" s="16"/>
      <c r="T38" s="16"/>
      <c r="U38" s="16"/>
      <c r="V38" s="16"/>
      <c r="W38" s="16"/>
      <c r="X38" s="16"/>
      <c r="Y38" s="16"/>
      <c r="Z38" s="17"/>
    </row>
    <row r="39" spans="1:31" s="59" customFormat="1" ht="25.5">
      <c r="A39" s="8"/>
      <c r="B39" s="11" t="str">
        <f>+IFERROR(VLOOKUP(C39,Listas!$L$8:$M$101,2,FALSE),"")</f>
        <v>10010102</v>
      </c>
      <c r="C39" s="334" t="s">
        <v>472</v>
      </c>
      <c r="D39" s="274"/>
      <c r="E39" s="275"/>
      <c r="F39" s="668"/>
      <c r="G39" s="376" t="s">
        <v>1024</v>
      </c>
      <c r="H39" s="377" t="str">
        <f>+IF(I39=""," ",VLOOKUP(I39,Listas!$I$8:$J$10,2,FALSE))</f>
        <v>03</v>
      </c>
      <c r="I39" s="498" t="s">
        <v>465</v>
      </c>
      <c r="J39" s="378">
        <f>+IF(K39=""," ",VLOOKUP(K39,PUC!$B:$C,2,FALSE))</f>
        <v>1528050101</v>
      </c>
      <c r="K39" s="379" t="s">
        <v>914</v>
      </c>
      <c r="L39" s="380" t="str">
        <f>+IF(M39=""," ",VLOOKUP(M39,Listas!$F$9:$G$17,2,FALSE))</f>
        <v>02</v>
      </c>
      <c r="M39" s="478" t="s">
        <v>444</v>
      </c>
      <c r="N39" s="381">
        <v>560000</v>
      </c>
      <c r="O39" s="15" t="s">
        <v>226</v>
      </c>
      <c r="P39" s="16"/>
      <c r="Q39" s="16"/>
      <c r="R39" s="16"/>
      <c r="S39" s="16"/>
      <c r="T39" s="16"/>
      <c r="U39" s="16"/>
      <c r="V39" s="16"/>
      <c r="W39" s="16"/>
      <c r="X39" s="16"/>
      <c r="Y39" s="16"/>
      <c r="Z39" s="17"/>
    </row>
    <row r="40" spans="1:31" s="59" customFormat="1" ht="25.5">
      <c r="A40" s="8"/>
      <c r="B40" s="11" t="str">
        <f>+IFERROR(VLOOKUP(C40,Listas!$L$8:$M$101,2,FALSE),"")</f>
        <v>10010102</v>
      </c>
      <c r="C40" s="334" t="s">
        <v>472</v>
      </c>
      <c r="D40" s="274"/>
      <c r="E40" s="275"/>
      <c r="F40" s="668"/>
      <c r="G40" s="376" t="s">
        <v>1025</v>
      </c>
      <c r="H40" s="377" t="str">
        <f>+IF(I40=""," ",VLOOKUP(I40,Listas!$I$8:$J$10,2,FALSE))</f>
        <v>04</v>
      </c>
      <c r="I40" s="498" t="s">
        <v>466</v>
      </c>
      <c r="J40" s="378">
        <f>+IF(K40=""," ",VLOOKUP(K40,PUC!$B:$C,2,FALSE))</f>
        <v>6208021701</v>
      </c>
      <c r="K40" s="379" t="s">
        <v>983</v>
      </c>
      <c r="L40" s="380" t="str">
        <f>+IF(M40=""," ",VLOOKUP(M40,Listas!$F$9:$G$17,2,FALSE))</f>
        <v>02</v>
      </c>
      <c r="M40" s="478" t="s">
        <v>444</v>
      </c>
      <c r="N40" s="381">
        <v>700000</v>
      </c>
      <c r="O40" s="15" t="s">
        <v>1328</v>
      </c>
      <c r="P40" s="16"/>
      <c r="Q40" s="16"/>
      <c r="R40" s="16"/>
      <c r="S40" s="16"/>
      <c r="T40" s="16"/>
      <c r="U40" s="16"/>
      <c r="V40" s="16"/>
      <c r="W40" s="16"/>
      <c r="X40" s="16"/>
      <c r="Y40" s="16"/>
      <c r="Z40" s="17"/>
    </row>
    <row r="41" spans="1:31" s="59" customFormat="1" ht="25.5">
      <c r="A41" s="8"/>
      <c r="B41" s="11" t="str">
        <f>+IFERROR(VLOOKUP(C41,Listas!$L$8:$M$101,2,FALSE),"")</f>
        <v>10010102</v>
      </c>
      <c r="C41" s="334" t="s">
        <v>472</v>
      </c>
      <c r="D41" s="274"/>
      <c r="E41" s="275"/>
      <c r="F41" s="669" t="s">
        <v>1036</v>
      </c>
      <c r="G41" s="357" t="s">
        <v>1026</v>
      </c>
      <c r="H41" s="9" t="str">
        <f>+IF(I41=""," ",VLOOKUP(I41,Listas!$I$8:$J$10,2,FALSE))</f>
        <v xml:space="preserve"> </v>
      </c>
      <c r="I41" s="495"/>
      <c r="J41" s="356" t="str">
        <f>+IF(K41=""," ",VLOOKUP(K41,PUC!$B:$C,2,FALSE))</f>
        <v xml:space="preserve"> </v>
      </c>
      <c r="K41" s="334"/>
      <c r="L41" s="11" t="str">
        <f>+IF(M41=""," ",VLOOKUP(M41,Listas!$F$9:$G$17,2,FALSE))</f>
        <v xml:space="preserve"> </v>
      </c>
      <c r="M41" s="475"/>
      <c r="N41" s="345">
        <f t="shared" si="0"/>
        <v>0</v>
      </c>
      <c r="O41" s="15"/>
      <c r="P41" s="16"/>
      <c r="Q41" s="16"/>
      <c r="R41" s="16"/>
      <c r="S41" s="16"/>
      <c r="T41" s="16"/>
      <c r="U41" s="16"/>
      <c r="V41" s="16"/>
      <c r="W41" s="16"/>
      <c r="X41" s="16"/>
      <c r="Y41" s="16"/>
      <c r="Z41" s="17"/>
      <c r="AE41" s="345"/>
    </row>
    <row r="42" spans="1:31" s="59" customFormat="1" ht="38.25">
      <c r="A42" s="8"/>
      <c r="B42" s="11" t="str">
        <f>+IFERROR(VLOOKUP(C42,Listas!$L$8:$M$101,2,FALSE),"")</f>
        <v>10010102</v>
      </c>
      <c r="C42" s="334" t="s">
        <v>472</v>
      </c>
      <c r="D42" s="274"/>
      <c r="E42" s="275"/>
      <c r="F42" s="669"/>
      <c r="G42" s="357" t="s">
        <v>1027</v>
      </c>
      <c r="H42" s="9" t="str">
        <f>+IF(I42=""," ",VLOOKUP(I42,Listas!$I$8:$J$10,2,FALSE))</f>
        <v xml:space="preserve"> </v>
      </c>
      <c r="I42" s="495"/>
      <c r="J42" s="356" t="str">
        <f>+IF(K42=""," ",VLOOKUP(K42,PUC!$B:$C,2,FALSE))</f>
        <v xml:space="preserve"> </v>
      </c>
      <c r="K42" s="334"/>
      <c r="L42" s="11" t="str">
        <f>+IF(M42=""," ",VLOOKUP(M42,Listas!$F$9:$G$17,2,FALSE))</f>
        <v xml:space="preserve"> </v>
      </c>
      <c r="M42" s="475"/>
      <c r="N42" s="345">
        <f t="shared" si="0"/>
        <v>0</v>
      </c>
      <c r="O42" s="15"/>
      <c r="P42" s="16"/>
      <c r="Q42" s="16"/>
      <c r="R42" s="16"/>
      <c r="S42" s="16"/>
      <c r="T42" s="16"/>
      <c r="U42" s="16"/>
      <c r="V42" s="16"/>
      <c r="W42" s="16"/>
      <c r="X42" s="16"/>
      <c r="Y42" s="16"/>
      <c r="Z42" s="17"/>
      <c r="AE42" s="345"/>
    </row>
    <row r="43" spans="1:31" s="59" customFormat="1" ht="38.25">
      <c r="A43" s="8"/>
      <c r="B43" s="11" t="str">
        <f>+IFERROR(VLOOKUP(C43,Listas!$L$8:$M$101,2,FALSE),"")</f>
        <v>10010102</v>
      </c>
      <c r="C43" s="334" t="s">
        <v>472</v>
      </c>
      <c r="D43" s="274"/>
      <c r="E43" s="275"/>
      <c r="F43" s="669" t="s">
        <v>1037</v>
      </c>
      <c r="G43" s="376" t="s">
        <v>1028</v>
      </c>
      <c r="H43" s="377" t="str">
        <f>+IF(I43=""," ",VLOOKUP(I43,Listas!$I$8:$J$10,2,FALSE))</f>
        <v>02</v>
      </c>
      <c r="I43" s="498" t="s">
        <v>464</v>
      </c>
      <c r="J43" s="378">
        <f>+IF(K43=""," ",VLOOKUP(K43,PUC!$B:$C,2,FALSE))</f>
        <v>6208020203</v>
      </c>
      <c r="K43" s="379" t="s">
        <v>811</v>
      </c>
      <c r="L43" s="380" t="str">
        <f>+IF(M43=""," ",VLOOKUP(M43,Listas!$F$9:$G$17,2,FALSE))</f>
        <v>02</v>
      </c>
      <c r="M43" s="478" t="s">
        <v>444</v>
      </c>
      <c r="N43" s="381">
        <v>2800000</v>
      </c>
      <c r="O43" s="15" t="s">
        <v>1326</v>
      </c>
      <c r="P43" s="16"/>
      <c r="Q43" s="16"/>
      <c r="R43" s="16"/>
      <c r="S43" s="16"/>
      <c r="T43" s="16"/>
      <c r="U43" s="16"/>
      <c r="V43" s="16"/>
      <c r="W43" s="16"/>
      <c r="X43" s="16"/>
      <c r="Y43" s="16"/>
      <c r="Z43" s="17"/>
    </row>
    <row r="44" spans="1:31" s="59" customFormat="1" ht="38.25">
      <c r="A44" s="8"/>
      <c r="B44" s="11" t="str">
        <f>+IFERROR(VLOOKUP(C44,Listas!$L$8:$M$101,2,FALSE),"")</f>
        <v>10010102</v>
      </c>
      <c r="C44" s="334" t="s">
        <v>472</v>
      </c>
      <c r="D44" s="274"/>
      <c r="E44" s="275"/>
      <c r="F44" s="669"/>
      <c r="G44" s="357" t="s">
        <v>1029</v>
      </c>
      <c r="H44" s="9" t="str">
        <f>+IF(I44=""," ",VLOOKUP(I44,Listas!$I$8:$J$10,2,FALSE))</f>
        <v xml:space="preserve"> </v>
      </c>
      <c r="I44" s="495"/>
      <c r="J44" s="356" t="str">
        <f>+IF(K44=""," ",VLOOKUP(K44,PUC!$B:$C,2,FALSE))</f>
        <v xml:space="preserve"> </v>
      </c>
      <c r="K44" s="334"/>
      <c r="L44" s="11" t="str">
        <f>+IF(M44=""," ",VLOOKUP(M44,Listas!$F$9:$G$17,2,FALSE))</f>
        <v xml:space="preserve"> </v>
      </c>
      <c r="M44" s="475"/>
      <c r="N44" s="345">
        <f t="shared" si="0"/>
        <v>0</v>
      </c>
      <c r="O44" s="15"/>
      <c r="P44" s="16"/>
      <c r="Q44" s="16"/>
      <c r="R44" s="16"/>
      <c r="S44" s="16"/>
      <c r="T44" s="16"/>
      <c r="U44" s="16"/>
      <c r="V44" s="16"/>
      <c r="W44" s="16"/>
      <c r="X44" s="16"/>
      <c r="Y44" s="16"/>
      <c r="Z44" s="17"/>
      <c r="AE44" s="345"/>
    </row>
    <row r="45" spans="1:31" s="59" customFormat="1" ht="38.25">
      <c r="A45" s="8"/>
      <c r="B45" s="11" t="str">
        <f>+IFERROR(VLOOKUP(C45,Listas!$L$8:$M$101,2,FALSE),"")</f>
        <v>10010102</v>
      </c>
      <c r="C45" s="334" t="s">
        <v>472</v>
      </c>
      <c r="D45" s="274"/>
      <c r="E45" s="275"/>
      <c r="F45" s="669"/>
      <c r="G45" s="357" t="s">
        <v>1030</v>
      </c>
      <c r="H45" s="9" t="str">
        <f>+IF(I45=""," ",VLOOKUP(I45,Listas!$I$8:$J$10,2,FALSE))</f>
        <v xml:space="preserve"> </v>
      </c>
      <c r="I45" s="495"/>
      <c r="J45" s="356" t="str">
        <f>+IF(K45=""," ",VLOOKUP(K45,PUC!$B:$C,2,FALSE))</f>
        <v xml:space="preserve"> </v>
      </c>
      <c r="K45" s="334"/>
      <c r="L45" s="11" t="str">
        <f>+IF(M45=""," ",VLOOKUP(M45,Listas!$F$9:$G$17,2,FALSE))</f>
        <v xml:space="preserve"> </v>
      </c>
      <c r="M45" s="475"/>
      <c r="N45" s="345">
        <f t="shared" si="0"/>
        <v>0</v>
      </c>
      <c r="O45" s="15"/>
      <c r="P45" s="16"/>
      <c r="Q45" s="16"/>
      <c r="R45" s="16"/>
      <c r="S45" s="16"/>
      <c r="T45" s="16"/>
      <c r="U45" s="16"/>
      <c r="V45" s="16"/>
      <c r="W45" s="16"/>
      <c r="X45" s="16"/>
      <c r="Y45" s="16"/>
      <c r="Z45" s="17"/>
      <c r="AE45" s="345"/>
    </row>
    <row r="46" spans="1:31" s="59" customFormat="1" ht="18">
      <c r="A46" s="8"/>
      <c r="B46" s="11" t="str">
        <f>+IFERROR(VLOOKUP(C46,Listas!$L$8:$M$101,2,FALSE),"")</f>
        <v>10010102</v>
      </c>
      <c r="C46" s="334" t="s">
        <v>472</v>
      </c>
      <c r="D46" s="274"/>
      <c r="E46" s="275"/>
      <c r="F46" s="669"/>
      <c r="G46" s="357" t="s">
        <v>1031</v>
      </c>
      <c r="H46" s="9" t="str">
        <f>+IF(I46=""," ",VLOOKUP(I46,Listas!$I$8:$J$10,2,FALSE))</f>
        <v xml:space="preserve"> </v>
      </c>
      <c r="I46" s="495"/>
      <c r="J46" s="356" t="str">
        <f>+IF(K46=""," ",VLOOKUP(K46,PUC!$B:$C,2,FALSE))</f>
        <v xml:space="preserve"> </v>
      </c>
      <c r="K46" s="334"/>
      <c r="L46" s="11" t="str">
        <f>+IF(M46=""," ",VLOOKUP(M46,Listas!$F$9:$G$17,2,FALSE))</f>
        <v xml:space="preserve"> </v>
      </c>
      <c r="M46" s="475"/>
      <c r="N46" s="345">
        <f t="shared" si="0"/>
        <v>0</v>
      </c>
      <c r="O46" s="15"/>
      <c r="P46" s="16"/>
      <c r="Q46" s="16"/>
      <c r="R46" s="16"/>
      <c r="S46" s="16"/>
      <c r="T46" s="16"/>
      <c r="U46" s="16"/>
      <c r="V46" s="16"/>
      <c r="W46" s="16"/>
      <c r="X46" s="16"/>
      <c r="Y46" s="16"/>
      <c r="Z46" s="17"/>
      <c r="AE46" s="345"/>
    </row>
    <row r="47" spans="1:31" s="59" customFormat="1" ht="25.5">
      <c r="A47" s="8"/>
      <c r="B47" s="11" t="str">
        <f>+IFERROR(VLOOKUP(C47,Listas!$L$8:$M$101,2,FALSE),"")</f>
        <v>10010102</v>
      </c>
      <c r="C47" s="334" t="s">
        <v>472</v>
      </c>
      <c r="D47" s="274"/>
      <c r="E47" s="275"/>
      <c r="F47" s="669" t="s">
        <v>1038</v>
      </c>
      <c r="G47" s="357" t="s">
        <v>1032</v>
      </c>
      <c r="H47" s="9" t="str">
        <f>+IF(I47=""," ",VLOOKUP(I47,Listas!$I$8:$J$10,2,FALSE))</f>
        <v xml:space="preserve"> </v>
      </c>
      <c r="I47" s="495"/>
      <c r="J47" s="356" t="str">
        <f>+IF(K47=""," ",VLOOKUP(K47,PUC!$B:$C,2,FALSE))</f>
        <v xml:space="preserve"> </v>
      </c>
      <c r="K47" s="334"/>
      <c r="L47" s="11" t="str">
        <f>+IF(M47=""," ",VLOOKUP(M47,Listas!$F$9:$G$17,2,FALSE))</f>
        <v xml:space="preserve"> </v>
      </c>
      <c r="M47" s="475"/>
      <c r="N47" s="345">
        <f t="shared" si="0"/>
        <v>0</v>
      </c>
      <c r="O47" s="15"/>
      <c r="P47" s="16"/>
      <c r="Q47" s="16"/>
      <c r="R47" s="16"/>
      <c r="S47" s="16"/>
      <c r="T47" s="16"/>
      <c r="U47" s="16"/>
      <c r="V47" s="16"/>
      <c r="W47" s="16"/>
      <c r="X47" s="16"/>
      <c r="Y47" s="16"/>
      <c r="Z47" s="17"/>
      <c r="AE47" s="345"/>
    </row>
    <row r="48" spans="1:31" s="59" customFormat="1" ht="25.5">
      <c r="A48" s="8"/>
      <c r="B48" s="11" t="str">
        <f>+IFERROR(VLOOKUP(C48,Listas!$L$8:$M$101,2,FALSE),"")</f>
        <v>10010102</v>
      </c>
      <c r="C48" s="334" t="s">
        <v>472</v>
      </c>
      <c r="D48" s="274"/>
      <c r="E48" s="275"/>
      <c r="F48" s="669"/>
      <c r="G48" s="357" t="s">
        <v>1033</v>
      </c>
      <c r="H48" s="9" t="str">
        <f>+IF(I48=""," ",VLOOKUP(I48,Listas!$I$8:$J$10,2,FALSE))</f>
        <v xml:space="preserve"> </v>
      </c>
      <c r="I48" s="495"/>
      <c r="J48" s="356" t="str">
        <f>+IF(K48=""," ",VLOOKUP(K48,PUC!$B:$C,2,FALSE))</f>
        <v xml:space="preserve"> </v>
      </c>
      <c r="K48" s="334"/>
      <c r="L48" s="11" t="str">
        <f>+IF(M48=""," ",VLOOKUP(M48,Listas!$F$9:$G$17,2,FALSE))</f>
        <v xml:space="preserve"> </v>
      </c>
      <c r="M48" s="475"/>
      <c r="N48" s="345">
        <f t="shared" si="0"/>
        <v>0</v>
      </c>
      <c r="O48" s="15"/>
      <c r="P48" s="16"/>
      <c r="Q48" s="16"/>
      <c r="R48" s="16"/>
      <c r="S48" s="16"/>
      <c r="T48" s="16"/>
      <c r="U48" s="16"/>
      <c r="V48" s="16"/>
      <c r="W48" s="16"/>
      <c r="X48" s="16"/>
      <c r="Y48" s="16"/>
      <c r="Z48" s="17"/>
      <c r="AE48" s="345"/>
    </row>
    <row r="49" spans="1:31" s="59" customFormat="1" ht="29.25" customHeight="1">
      <c r="A49" s="8"/>
      <c r="B49" s="11" t="str">
        <f>+IFERROR(VLOOKUP(C49,Listas!$L$8:$M$101,2,FALSE),"")</f>
        <v>10010102</v>
      </c>
      <c r="C49" s="334" t="s">
        <v>472</v>
      </c>
      <c r="D49" s="274"/>
      <c r="E49" s="275"/>
      <c r="F49" s="274"/>
      <c r="G49" s="275"/>
      <c r="H49" s="9" t="str">
        <f>+IF(I49=""," ",VLOOKUP(I49,Listas!$I$8:$J$10,2,FALSE))</f>
        <v xml:space="preserve"> </v>
      </c>
      <c r="I49" s="495"/>
      <c r="J49" s="356" t="str">
        <f>+IF(K49=""," ",VLOOKUP(K49,PUC!$B:$C,2,FALSE))</f>
        <v xml:space="preserve"> </v>
      </c>
      <c r="K49" s="334"/>
      <c r="L49" s="11" t="str">
        <f>+IF(M49=""," ",VLOOKUP(M49,Listas!$F$9:$G$17,2,FALSE))</f>
        <v xml:space="preserve"> </v>
      </c>
      <c r="M49" s="475"/>
      <c r="N49" s="345">
        <f t="shared" si="0"/>
        <v>0</v>
      </c>
      <c r="O49" s="15"/>
      <c r="P49" s="16"/>
      <c r="Q49" s="16"/>
      <c r="R49" s="16"/>
      <c r="S49" s="16"/>
      <c r="T49" s="16"/>
      <c r="U49" s="16"/>
      <c r="V49" s="16"/>
      <c r="W49" s="16"/>
      <c r="X49" s="16"/>
      <c r="Y49" s="16"/>
      <c r="Z49" s="17"/>
      <c r="AE49" s="345"/>
    </row>
    <row r="50" spans="1:31" s="59" customFormat="1" ht="29.25" customHeight="1" thickBot="1">
      <c r="A50" s="8"/>
      <c r="B50" s="28" t="str">
        <f>+IFERROR(VLOOKUP(C50,Listas!$L$8:$M$101,2,FALSE),"")</f>
        <v>10010102</v>
      </c>
      <c r="C50" s="341" t="s">
        <v>472</v>
      </c>
      <c r="D50" s="280"/>
      <c r="E50" s="281"/>
      <c r="F50" s="280"/>
      <c r="G50" s="281"/>
      <c r="H50" s="26" t="str">
        <f>+IF(I50=""," ",VLOOKUP(I50,Listas!$I$8:$J$10,2,FALSE))</f>
        <v xml:space="preserve"> </v>
      </c>
      <c r="I50" s="499"/>
      <c r="J50" s="382" t="str">
        <f>+IF(K50=""," ",VLOOKUP(K50,PUC!$B:$C,2,FALSE))</f>
        <v xml:space="preserve"> </v>
      </c>
      <c r="K50" s="341"/>
      <c r="L50" s="28" t="str">
        <f>+IF(M50=""," ",VLOOKUP(M50,Listas!$F$9:$G$17,2,FALSE))</f>
        <v xml:space="preserve"> </v>
      </c>
      <c r="M50" s="479"/>
      <c r="N50" s="348">
        <f t="shared" si="0"/>
        <v>0</v>
      </c>
      <c r="O50" s="29"/>
      <c r="P50" s="30"/>
      <c r="Q50" s="30"/>
      <c r="R50" s="30"/>
      <c r="S50" s="30"/>
      <c r="T50" s="30"/>
      <c r="U50" s="30"/>
      <c r="V50" s="30"/>
      <c r="W50" s="30"/>
      <c r="X50" s="30"/>
      <c r="Y50" s="30"/>
      <c r="Z50" s="31"/>
      <c r="AE50" s="348"/>
    </row>
    <row r="51" spans="1:31" s="59" customFormat="1" ht="29.25" customHeight="1">
      <c r="A51" s="8"/>
      <c r="B51" s="20" t="str">
        <f>+IFERROR(VLOOKUP(C51,Listas!$L$8:$M$101,2,FALSE),"")</f>
        <v>10020101</v>
      </c>
      <c r="C51" s="339" t="s">
        <v>473</v>
      </c>
      <c r="D51" s="673" t="s">
        <v>1043</v>
      </c>
      <c r="E51" s="277"/>
      <c r="F51" s="636" t="s">
        <v>1039</v>
      </c>
      <c r="G51" s="361" t="s">
        <v>1342</v>
      </c>
      <c r="H51" s="18" t="str">
        <f>+IF(I51=""," ",VLOOKUP(I51,Listas!$I$8:$J$10,2,FALSE))</f>
        <v>04</v>
      </c>
      <c r="I51" s="497" t="s">
        <v>466</v>
      </c>
      <c r="J51" s="362">
        <f>+IF(K51=""," ",VLOOKUP(K51,PUC!$B:$C,2,FALSE))</f>
        <v>6208100302</v>
      </c>
      <c r="K51" s="339" t="s">
        <v>975</v>
      </c>
      <c r="L51" s="20" t="str">
        <f>+IF(M51=""," ",VLOOKUP(M51,Listas!$F$9:$G$17,2,FALSE))</f>
        <v>02</v>
      </c>
      <c r="M51" s="477" t="s">
        <v>444</v>
      </c>
      <c r="N51" s="346">
        <f t="shared" si="0"/>
        <v>7000000</v>
      </c>
      <c r="O51" s="12"/>
      <c r="P51" s="13"/>
      <c r="Q51" s="13"/>
      <c r="R51" s="13"/>
      <c r="S51" s="13"/>
      <c r="T51" s="13"/>
      <c r="U51" s="13"/>
      <c r="V51" s="13"/>
      <c r="W51" s="13"/>
      <c r="X51" s="13"/>
      <c r="Y51" s="13"/>
      <c r="Z51" s="14"/>
      <c r="AE51" s="346">
        <v>35000000</v>
      </c>
    </row>
    <row r="52" spans="1:31" s="59" customFormat="1" ht="38.25">
      <c r="A52" s="8"/>
      <c r="B52" s="11" t="str">
        <f>+IFERROR(VLOOKUP(C52,Listas!$L$8:$M$101,2,FALSE),"")</f>
        <v>10020101</v>
      </c>
      <c r="C52" s="334" t="s">
        <v>473</v>
      </c>
      <c r="D52" s="674"/>
      <c r="E52" s="275"/>
      <c r="F52" s="637"/>
      <c r="G52" s="357" t="s">
        <v>1343</v>
      </c>
      <c r="H52" s="9" t="str">
        <f>+IF(I52=""," ",VLOOKUP(I52,Listas!$I$8:$J$10,2,FALSE))</f>
        <v>04</v>
      </c>
      <c r="I52" s="495" t="s">
        <v>466</v>
      </c>
      <c r="J52" s="356">
        <f>+IF(K52=""," ",VLOOKUP(K52,PUC!$B:$C,2,FALSE))</f>
        <v>6208100302</v>
      </c>
      <c r="K52" s="334" t="s">
        <v>975</v>
      </c>
      <c r="L52" s="11" t="str">
        <f>+IF(M52=""," ",VLOOKUP(M52,Listas!$F$9:$G$17,2,FALSE))</f>
        <v>02</v>
      </c>
      <c r="M52" s="475" t="s">
        <v>444</v>
      </c>
      <c r="N52" s="345">
        <f t="shared" si="0"/>
        <v>5000000</v>
      </c>
      <c r="O52" s="15"/>
      <c r="P52" s="16"/>
      <c r="Q52" s="16"/>
      <c r="R52" s="16"/>
      <c r="S52" s="16"/>
      <c r="T52" s="16"/>
      <c r="U52" s="16"/>
      <c r="V52" s="16"/>
      <c r="W52" s="16"/>
      <c r="X52" s="16"/>
      <c r="Y52" s="16"/>
      <c r="Z52" s="17"/>
      <c r="AE52" s="345">
        <v>25000000</v>
      </c>
    </row>
    <row r="53" spans="1:31" s="59" customFormat="1" ht="25.5">
      <c r="A53" s="8"/>
      <c r="B53" s="11" t="str">
        <f>+IFERROR(VLOOKUP(C53,Listas!$L$8:$M$101,2,FALSE),"")</f>
        <v>10020101</v>
      </c>
      <c r="C53" s="334" t="s">
        <v>473</v>
      </c>
      <c r="D53" s="675"/>
      <c r="E53" s="275"/>
      <c r="F53" s="635"/>
      <c r="G53" s="357" t="s">
        <v>1040</v>
      </c>
      <c r="H53" s="9" t="str">
        <f>+IF(I53=""," ",VLOOKUP(I53,Listas!$I$8:$J$10,2,FALSE))</f>
        <v xml:space="preserve"> </v>
      </c>
      <c r="I53" s="495"/>
      <c r="J53" s="356" t="str">
        <f>+IF(K53=""," ",VLOOKUP(K53,PUC!$B:$C,2,FALSE))</f>
        <v xml:space="preserve"> </v>
      </c>
      <c r="K53" s="334"/>
      <c r="L53" s="11" t="str">
        <f>+IF(M53=""," ",VLOOKUP(M53,Listas!$F$9:$G$17,2,FALSE))</f>
        <v xml:space="preserve"> </v>
      </c>
      <c r="M53" s="475"/>
      <c r="N53" s="345">
        <f t="shared" si="0"/>
        <v>0</v>
      </c>
      <c r="O53" s="15"/>
      <c r="P53" s="16"/>
      <c r="Q53" s="16"/>
      <c r="R53" s="16"/>
      <c r="S53" s="16"/>
      <c r="T53" s="16"/>
      <c r="U53" s="16"/>
      <c r="V53" s="16"/>
      <c r="W53" s="16"/>
      <c r="X53" s="16"/>
      <c r="Y53" s="16"/>
      <c r="Z53" s="17"/>
      <c r="AE53" s="345"/>
    </row>
    <row r="54" spans="1:31" s="59" customFormat="1" ht="77.25" thickBot="1">
      <c r="A54" s="8"/>
      <c r="B54" s="11" t="str">
        <f>+IFERROR(VLOOKUP(C54,Listas!$L$8:$M$101,2,FALSE),"")</f>
        <v>10020101</v>
      </c>
      <c r="C54" s="334" t="s">
        <v>473</v>
      </c>
      <c r="D54" s="274"/>
      <c r="E54" s="275"/>
      <c r="F54" s="357" t="s">
        <v>1041</v>
      </c>
      <c r="G54" s="357" t="s">
        <v>1042</v>
      </c>
      <c r="H54" s="9" t="str">
        <f>+IF(I54=""," ",VLOOKUP(I54,Listas!$I$8:$J$10,2,FALSE))</f>
        <v xml:space="preserve"> </v>
      </c>
      <c r="I54" s="495"/>
      <c r="J54" s="356" t="str">
        <f>+IF(K54=""," ",VLOOKUP(K54,PUC!$B:$C,2,FALSE))</f>
        <v xml:space="preserve"> </v>
      </c>
      <c r="K54" s="334"/>
      <c r="L54" s="11" t="str">
        <f>+IF(M54=""," ",VLOOKUP(M54,Listas!$F$9:$G$17,2,FALSE))</f>
        <v xml:space="preserve"> </v>
      </c>
      <c r="M54" s="475"/>
      <c r="N54" s="345">
        <f t="shared" si="0"/>
        <v>0</v>
      </c>
      <c r="O54" s="15"/>
      <c r="P54" s="16"/>
      <c r="Q54" s="16"/>
      <c r="R54" s="16"/>
      <c r="S54" s="16"/>
      <c r="T54" s="16"/>
      <c r="U54" s="16"/>
      <c r="V54" s="16"/>
      <c r="W54" s="16"/>
      <c r="X54" s="16"/>
      <c r="Y54" s="16"/>
      <c r="Z54" s="17"/>
      <c r="AE54" s="345"/>
    </row>
    <row r="55" spans="1:31" s="59" customFormat="1" ht="18" hidden="1">
      <c r="A55" s="8"/>
      <c r="B55" s="11" t="str">
        <f>+IFERROR(VLOOKUP(C55,Listas!$L$8:$M$101,2,FALSE),"")</f>
        <v>10020101</v>
      </c>
      <c r="C55" s="334" t="s">
        <v>473</v>
      </c>
      <c r="D55" s="274"/>
      <c r="E55" s="275"/>
      <c r="F55" s="274"/>
      <c r="G55" s="357"/>
      <c r="H55" s="9" t="str">
        <f>+IF(I55=""," ",VLOOKUP(I55,Listas!$I$8:$J$10,2,FALSE))</f>
        <v xml:space="preserve"> </v>
      </c>
      <c r="I55" s="495"/>
      <c r="J55" s="356" t="str">
        <f>+IF(K55=""," ",VLOOKUP(K55,PUC!$B:$C,2,FALSE))</f>
        <v xml:space="preserve"> </v>
      </c>
      <c r="K55" s="334"/>
      <c r="L55" s="11" t="str">
        <f>+IF(M55=""," ",VLOOKUP(M55,Listas!$F$9:$G$17,2,FALSE))</f>
        <v xml:space="preserve"> </v>
      </c>
      <c r="M55" s="475"/>
      <c r="N55" s="345">
        <f t="shared" si="0"/>
        <v>0</v>
      </c>
      <c r="O55" s="15"/>
      <c r="P55" s="16"/>
      <c r="Q55" s="16"/>
      <c r="R55" s="16"/>
      <c r="S55" s="16"/>
      <c r="T55" s="16"/>
      <c r="U55" s="16"/>
      <c r="V55" s="16"/>
      <c r="W55" s="16"/>
      <c r="X55" s="16"/>
      <c r="Y55" s="16"/>
      <c r="Z55" s="17"/>
      <c r="AE55" s="345"/>
    </row>
    <row r="56" spans="1:31" s="59" customFormat="1" ht="29.25" hidden="1" customHeight="1">
      <c r="A56" s="8"/>
      <c r="B56" s="11" t="str">
        <f>+IFERROR(VLOOKUP(C56,Listas!$L$8:$M$101,2,FALSE),"")</f>
        <v>10020101</v>
      </c>
      <c r="C56" s="334" t="s">
        <v>473</v>
      </c>
      <c r="D56" s="274"/>
      <c r="E56" s="275"/>
      <c r="F56" s="274"/>
      <c r="G56" s="357"/>
      <c r="H56" s="9" t="str">
        <f>+IF(I56=""," ",VLOOKUP(I56,Listas!$I$8:$J$10,2,FALSE))</f>
        <v xml:space="preserve"> </v>
      </c>
      <c r="I56" s="495"/>
      <c r="J56" s="356" t="str">
        <f>+IF(K56=""," ",VLOOKUP(K56,PUC!$B:$C,2,FALSE))</f>
        <v xml:space="preserve"> </v>
      </c>
      <c r="K56" s="334"/>
      <c r="L56" s="11" t="str">
        <f>+IF(M56=""," ",VLOOKUP(M56,Listas!$F$9:$G$17,2,FALSE))</f>
        <v xml:space="preserve"> </v>
      </c>
      <c r="M56" s="475"/>
      <c r="N56" s="345">
        <f t="shared" si="0"/>
        <v>0</v>
      </c>
      <c r="O56" s="15"/>
      <c r="P56" s="16"/>
      <c r="Q56" s="16"/>
      <c r="R56" s="16"/>
      <c r="S56" s="16"/>
      <c r="T56" s="16"/>
      <c r="U56" s="16"/>
      <c r="V56" s="16"/>
      <c r="W56" s="16"/>
      <c r="X56" s="16"/>
      <c r="Y56" s="16"/>
      <c r="Z56" s="17"/>
      <c r="AE56" s="345"/>
    </row>
    <row r="57" spans="1:31" s="59" customFormat="1" ht="29.25" hidden="1" customHeight="1">
      <c r="A57" s="8"/>
      <c r="B57" s="11" t="str">
        <f>+IFERROR(VLOOKUP(C57,Listas!$L$8:$M$101,2,FALSE),"")</f>
        <v>10020101</v>
      </c>
      <c r="C57" s="334" t="s">
        <v>473</v>
      </c>
      <c r="D57" s="274"/>
      <c r="E57" s="275"/>
      <c r="F57" s="274"/>
      <c r="G57" s="357"/>
      <c r="H57" s="9" t="str">
        <f>+IF(I57=""," ",VLOOKUP(I57,Listas!$I$8:$J$10,2,FALSE))</f>
        <v xml:space="preserve"> </v>
      </c>
      <c r="I57" s="495"/>
      <c r="J57" s="356" t="str">
        <f>+IF(K57=""," ",VLOOKUP(K57,PUC!$B:$C,2,FALSE))</f>
        <v xml:space="preserve"> </v>
      </c>
      <c r="K57" s="334"/>
      <c r="L57" s="11" t="str">
        <f>+IF(M57=""," ",VLOOKUP(M57,Listas!$F$9:$G$17,2,FALSE))</f>
        <v xml:space="preserve"> </v>
      </c>
      <c r="M57" s="475"/>
      <c r="N57" s="345">
        <f t="shared" si="0"/>
        <v>0</v>
      </c>
      <c r="O57" s="15"/>
      <c r="P57" s="16"/>
      <c r="Q57" s="16"/>
      <c r="R57" s="16"/>
      <c r="S57" s="16"/>
      <c r="T57" s="16"/>
      <c r="U57" s="16"/>
      <c r="V57" s="16"/>
      <c r="W57" s="16"/>
      <c r="X57" s="16"/>
      <c r="Y57" s="16"/>
      <c r="Z57" s="17"/>
      <c r="AE57" s="345"/>
    </row>
    <row r="58" spans="1:31" s="59" customFormat="1" ht="29.25" hidden="1" customHeight="1">
      <c r="A58" s="8"/>
      <c r="B58" s="11" t="str">
        <f>+IFERROR(VLOOKUP(C58,Listas!$L$8:$M$101,2,FALSE),"")</f>
        <v>10020101</v>
      </c>
      <c r="C58" s="334" t="s">
        <v>473</v>
      </c>
      <c r="D58" s="274"/>
      <c r="E58" s="275"/>
      <c r="F58" s="274"/>
      <c r="G58" s="275"/>
      <c r="H58" s="9" t="str">
        <f>+IF(I58=""," ",VLOOKUP(I58,Listas!$I$8:$J$10,2,FALSE))</f>
        <v xml:space="preserve"> </v>
      </c>
      <c r="I58" s="495"/>
      <c r="J58" s="356" t="str">
        <f>+IF(K58=""," ",VLOOKUP(K58,PUC!$B:$C,2,FALSE))</f>
        <v xml:space="preserve"> </v>
      </c>
      <c r="K58" s="334"/>
      <c r="L58" s="11" t="str">
        <f>+IF(M58=""," ",VLOOKUP(M58,Listas!$F$9:$G$17,2,FALSE))</f>
        <v xml:space="preserve"> </v>
      </c>
      <c r="M58" s="475"/>
      <c r="N58" s="345">
        <f t="shared" si="0"/>
        <v>0</v>
      </c>
      <c r="O58" s="15"/>
      <c r="P58" s="16"/>
      <c r="Q58" s="16"/>
      <c r="R58" s="16"/>
      <c r="S58" s="16"/>
      <c r="T58" s="16"/>
      <c r="U58" s="16"/>
      <c r="V58" s="16"/>
      <c r="W58" s="16"/>
      <c r="X58" s="16"/>
      <c r="Y58" s="16"/>
      <c r="Z58" s="17"/>
      <c r="AE58" s="345"/>
    </row>
    <row r="59" spans="1:31" s="59" customFormat="1" ht="29.25" hidden="1" customHeight="1">
      <c r="A59" s="8"/>
      <c r="B59" s="11" t="str">
        <f>+IFERROR(VLOOKUP(C59,Listas!$L$8:$M$101,2,FALSE),"")</f>
        <v>10020101</v>
      </c>
      <c r="C59" s="334" t="s">
        <v>473</v>
      </c>
      <c r="D59" s="274"/>
      <c r="E59" s="275"/>
      <c r="F59" s="274"/>
      <c r="G59" s="275"/>
      <c r="H59" s="9" t="str">
        <f>+IF(I59=""," ",VLOOKUP(I59,Listas!$I$8:$J$10,2,FALSE))</f>
        <v xml:space="preserve"> </v>
      </c>
      <c r="I59" s="495"/>
      <c r="J59" s="356" t="str">
        <f>+IF(K59=""," ",VLOOKUP(K59,PUC!$B:$C,2,FALSE))</f>
        <v xml:space="preserve"> </v>
      </c>
      <c r="K59" s="334"/>
      <c r="L59" s="11" t="str">
        <f>+IF(M59=""," ",VLOOKUP(M59,Listas!$F$9:$G$17,2,FALSE))</f>
        <v xml:space="preserve"> </v>
      </c>
      <c r="M59" s="475"/>
      <c r="N59" s="345">
        <f t="shared" si="0"/>
        <v>0</v>
      </c>
      <c r="O59" s="15"/>
      <c r="P59" s="16"/>
      <c r="Q59" s="16"/>
      <c r="R59" s="16"/>
      <c r="S59" s="16"/>
      <c r="T59" s="16"/>
      <c r="U59" s="16"/>
      <c r="V59" s="16"/>
      <c r="W59" s="16"/>
      <c r="X59" s="16"/>
      <c r="Y59" s="16"/>
      <c r="Z59" s="17"/>
      <c r="AE59" s="345"/>
    </row>
    <row r="60" spans="1:31" s="59" customFormat="1" ht="29.25" hidden="1" customHeight="1" thickBot="1">
      <c r="A60" s="8"/>
      <c r="B60" s="22" t="str">
        <f>+IFERROR(VLOOKUP(C60,Listas!$L$8:$M$101,2,FALSE),"")</f>
        <v>10020101</v>
      </c>
      <c r="C60" s="340" t="s">
        <v>473</v>
      </c>
      <c r="D60" s="278"/>
      <c r="E60" s="279"/>
      <c r="F60" s="383"/>
      <c r="G60" s="384"/>
      <c r="H60" s="21" t="str">
        <f>+IF(I60=""," ",VLOOKUP(I60,Listas!$I$8:$J$10,2,FALSE))</f>
        <v xml:space="preserve"> </v>
      </c>
      <c r="I60" s="496"/>
      <c r="J60" s="363" t="str">
        <f>+IF(K60=""," ",VLOOKUP(K60,PUC!$B:$C,2,FALSE))</f>
        <v xml:space="preserve"> </v>
      </c>
      <c r="K60" s="340"/>
      <c r="L60" s="22" t="str">
        <f>+IF(M60=""," ",VLOOKUP(M60,Listas!$F$9:$G$17,2,FALSE))</f>
        <v xml:space="preserve"> </v>
      </c>
      <c r="M60" s="476"/>
      <c r="N60" s="347">
        <f t="shared" si="0"/>
        <v>0</v>
      </c>
      <c r="O60" s="23"/>
      <c r="P60" s="24"/>
      <c r="Q60" s="24"/>
      <c r="R60" s="24"/>
      <c r="S60" s="24"/>
      <c r="T60" s="24"/>
      <c r="U60" s="24"/>
      <c r="V60" s="24"/>
      <c r="W60" s="24"/>
      <c r="X60" s="24"/>
      <c r="Y60" s="24"/>
      <c r="Z60" s="25"/>
      <c r="AE60" s="347"/>
    </row>
    <row r="61" spans="1:31" s="59" customFormat="1" ht="25.5">
      <c r="A61" s="8"/>
      <c r="B61" s="20" t="str">
        <f>+IFERROR(VLOOKUP(C61,Listas!$L$8:$M$101,2,FALSE),"")</f>
        <v>10020102</v>
      </c>
      <c r="C61" s="339" t="s">
        <v>474</v>
      </c>
      <c r="D61" s="276"/>
      <c r="E61" s="277"/>
      <c r="F61" s="361" t="s">
        <v>438</v>
      </c>
      <c r="G61" s="361" t="s">
        <v>1044</v>
      </c>
      <c r="H61" s="18" t="str">
        <f>+IF(I61=""," ",VLOOKUP(I61,Listas!$I$8:$J$10,2,FALSE))</f>
        <v>04</v>
      </c>
      <c r="I61" s="497" t="s">
        <v>466</v>
      </c>
      <c r="J61" s="362">
        <f>+IF(K61=""," ",VLOOKUP(K61,PUC!$B:$C,2,FALSE))</f>
        <v>6208100302</v>
      </c>
      <c r="K61" s="339" t="s">
        <v>975</v>
      </c>
      <c r="L61" s="20" t="str">
        <f>+IF(M61=""," ",VLOOKUP(M61,Listas!$F$9:$G$17,2,FALSE))</f>
        <v>02</v>
      </c>
      <c r="M61" s="477" t="s">
        <v>444</v>
      </c>
      <c r="N61" s="346">
        <f t="shared" si="0"/>
        <v>3600000</v>
      </c>
      <c r="O61" s="12"/>
      <c r="P61" s="13"/>
      <c r="Q61" s="13"/>
      <c r="R61" s="13"/>
      <c r="S61" s="13"/>
      <c r="T61" s="13"/>
      <c r="U61" s="13"/>
      <c r="V61" s="13"/>
      <c r="W61" s="13"/>
      <c r="X61" s="13"/>
      <c r="Y61" s="13"/>
      <c r="Z61" s="14"/>
      <c r="AE61" s="346">
        <v>18000000</v>
      </c>
    </row>
    <row r="62" spans="1:31" s="59" customFormat="1" ht="25.5">
      <c r="A62" s="8"/>
      <c r="B62" s="11" t="str">
        <f>+IFERROR(VLOOKUP(C62,Listas!$L$8:$M$101,2,FALSE),"")</f>
        <v>10020102</v>
      </c>
      <c r="C62" s="334" t="s">
        <v>474</v>
      </c>
      <c r="D62" s="274"/>
      <c r="E62" s="275"/>
      <c r="F62" s="634" t="s">
        <v>1045</v>
      </c>
      <c r="G62" s="357" t="s">
        <v>1046</v>
      </c>
      <c r="H62" s="9" t="str">
        <f>+IF(I62=""," ",VLOOKUP(I62,Listas!$I$8:$J$10,2,FALSE))</f>
        <v xml:space="preserve"> </v>
      </c>
      <c r="I62" s="495"/>
      <c r="J62" s="356" t="str">
        <f>+IF(K62=""," ",VLOOKUP(K62,PUC!$B:$C,2,FALSE))</f>
        <v xml:space="preserve"> </v>
      </c>
      <c r="K62" s="334"/>
      <c r="L62" s="11" t="str">
        <f>+IF(M62=""," ",VLOOKUP(M62,Listas!$F$9:$G$17,2,FALSE))</f>
        <v xml:space="preserve"> </v>
      </c>
      <c r="M62" s="475"/>
      <c r="N62" s="345">
        <f t="shared" si="0"/>
        <v>0</v>
      </c>
      <c r="O62" s="15"/>
      <c r="P62" s="16"/>
      <c r="Q62" s="16"/>
      <c r="R62" s="16"/>
      <c r="S62" s="16"/>
      <c r="T62" s="16"/>
      <c r="U62" s="16"/>
      <c r="V62" s="16"/>
      <c r="W62" s="16"/>
      <c r="X62" s="16"/>
      <c r="Y62" s="16"/>
      <c r="Z62" s="17"/>
      <c r="AE62" s="345"/>
    </row>
    <row r="63" spans="1:31" s="59" customFormat="1" ht="25.5">
      <c r="A63" s="8"/>
      <c r="B63" s="11" t="str">
        <f>+IFERROR(VLOOKUP(C63,Listas!$L$8:$M$101,2,FALSE),"")</f>
        <v>10020102</v>
      </c>
      <c r="C63" s="334" t="s">
        <v>474</v>
      </c>
      <c r="D63" s="274"/>
      <c r="E63" s="275"/>
      <c r="F63" s="637"/>
      <c r="G63" s="357" t="s">
        <v>1047</v>
      </c>
      <c r="H63" s="9" t="str">
        <f>+IF(I63=""," ",VLOOKUP(I63,Listas!$I$8:$J$10,2,FALSE))</f>
        <v xml:space="preserve"> </v>
      </c>
      <c r="I63" s="495"/>
      <c r="J63" s="356" t="str">
        <f>+IF(K63=""," ",VLOOKUP(K63,PUC!$B:$C,2,FALSE))</f>
        <v xml:space="preserve"> </v>
      </c>
      <c r="K63" s="334"/>
      <c r="L63" s="11" t="str">
        <f>+IF(M63=""," ",VLOOKUP(M63,Listas!$F$9:$G$17,2,FALSE))</f>
        <v xml:space="preserve"> </v>
      </c>
      <c r="M63" s="475"/>
      <c r="N63" s="345">
        <f t="shared" si="0"/>
        <v>0</v>
      </c>
      <c r="O63" s="15"/>
      <c r="P63" s="16"/>
      <c r="Q63" s="16"/>
      <c r="R63" s="16"/>
      <c r="S63" s="16"/>
      <c r="T63" s="16"/>
      <c r="U63" s="16"/>
      <c r="V63" s="16"/>
      <c r="W63" s="16"/>
      <c r="X63" s="16"/>
      <c r="Y63" s="16"/>
      <c r="Z63" s="17"/>
      <c r="AE63" s="345"/>
    </row>
    <row r="64" spans="1:31" s="59" customFormat="1" ht="25.5">
      <c r="A64" s="8"/>
      <c r="B64" s="11" t="str">
        <f>+IFERROR(VLOOKUP(C64,Listas!$L$8:$M$101,2,FALSE),"")</f>
        <v>10020102</v>
      </c>
      <c r="C64" s="334" t="s">
        <v>474</v>
      </c>
      <c r="D64" s="274"/>
      <c r="E64" s="275"/>
      <c r="F64" s="635"/>
      <c r="G64" s="357" t="s">
        <v>1048</v>
      </c>
      <c r="H64" s="9" t="str">
        <f>+IF(I64=""," ",VLOOKUP(I64,Listas!$I$8:$J$10,2,FALSE))</f>
        <v>04</v>
      </c>
      <c r="I64" s="495" t="s">
        <v>466</v>
      </c>
      <c r="J64" s="356">
        <f>+IF(K64=""," ",VLOOKUP(K64,PUC!$B:$C,2,FALSE))</f>
        <v>6208100302</v>
      </c>
      <c r="K64" s="334" t="s">
        <v>975</v>
      </c>
      <c r="L64" s="11" t="str">
        <f>+IF(M64=""," ",VLOOKUP(M64,Listas!$F$9:$G$17,2,FALSE))</f>
        <v>02</v>
      </c>
      <c r="M64" s="475" t="s">
        <v>444</v>
      </c>
      <c r="N64" s="345">
        <f t="shared" si="0"/>
        <v>400000</v>
      </c>
      <c r="O64" s="15"/>
      <c r="P64" s="16"/>
      <c r="Q64" s="16"/>
      <c r="R64" s="16"/>
      <c r="S64" s="16"/>
      <c r="T64" s="16"/>
      <c r="U64" s="16"/>
      <c r="V64" s="16"/>
      <c r="W64" s="16"/>
      <c r="X64" s="16"/>
      <c r="Y64" s="16"/>
      <c r="Z64" s="17"/>
      <c r="AE64" s="345">
        <v>2000000</v>
      </c>
    </row>
    <row r="65" spans="1:31" s="59" customFormat="1" ht="51">
      <c r="A65" s="8"/>
      <c r="B65" s="11" t="str">
        <f>+IFERROR(VLOOKUP(C65,Listas!$L$8:$M$101,2,FALSE),"")</f>
        <v>10020102</v>
      </c>
      <c r="C65" s="334" t="s">
        <v>474</v>
      </c>
      <c r="D65" s="274"/>
      <c r="E65" s="275"/>
      <c r="F65" s="357" t="s">
        <v>1049</v>
      </c>
      <c r="G65" s="357" t="s">
        <v>1050</v>
      </c>
      <c r="H65" s="9" t="str">
        <f>+IF(I65=""," ",VLOOKUP(I65,Listas!$I$8:$J$10,2,FALSE))</f>
        <v xml:space="preserve"> </v>
      </c>
      <c r="I65" s="495"/>
      <c r="J65" s="356" t="str">
        <f>+IF(K65=""," ",VLOOKUP(K65,PUC!$B:$C,2,FALSE))</f>
        <v xml:space="preserve"> </v>
      </c>
      <c r="K65" s="334"/>
      <c r="L65" s="11" t="str">
        <f>+IF(M65=""," ",VLOOKUP(M65,Listas!$F$9:$G$17,2,FALSE))</f>
        <v xml:space="preserve"> </v>
      </c>
      <c r="M65" s="475"/>
      <c r="N65" s="345">
        <f t="shared" si="0"/>
        <v>0</v>
      </c>
      <c r="O65" s="15"/>
      <c r="P65" s="16"/>
      <c r="Q65" s="16"/>
      <c r="R65" s="16"/>
      <c r="S65" s="16"/>
      <c r="T65" s="16"/>
      <c r="U65" s="16"/>
      <c r="V65" s="16"/>
      <c r="W65" s="16"/>
      <c r="X65" s="16"/>
      <c r="Y65" s="16"/>
      <c r="Z65" s="17"/>
      <c r="AE65" s="345"/>
    </row>
    <row r="66" spans="1:31" s="59" customFormat="1" ht="51">
      <c r="A66" s="8"/>
      <c r="B66" s="11" t="str">
        <f>+IFERROR(VLOOKUP(C66,Listas!$L$8:$M$101,2,FALSE),"")</f>
        <v>10020102</v>
      </c>
      <c r="C66" s="334" t="s">
        <v>474</v>
      </c>
      <c r="D66" s="274"/>
      <c r="E66" s="275"/>
      <c r="F66" s="357" t="s">
        <v>1051</v>
      </c>
      <c r="G66" s="357" t="s">
        <v>1052</v>
      </c>
      <c r="H66" s="9" t="str">
        <f>+IF(I66=""," ",VLOOKUP(I66,Listas!$I$8:$J$10,2,FALSE))</f>
        <v xml:space="preserve"> </v>
      </c>
      <c r="I66" s="495"/>
      <c r="J66" s="356" t="str">
        <f>+IF(K66=""," ",VLOOKUP(K66,PUC!$B:$C,2,FALSE))</f>
        <v xml:space="preserve"> </v>
      </c>
      <c r="K66" s="334"/>
      <c r="L66" s="11" t="str">
        <f>+IF(M66=""," ",VLOOKUP(M66,Listas!$F$9:$G$17,2,FALSE))</f>
        <v xml:space="preserve"> </v>
      </c>
      <c r="M66" s="475"/>
      <c r="N66" s="345">
        <f t="shared" si="0"/>
        <v>0</v>
      </c>
      <c r="O66" s="15"/>
      <c r="P66" s="16"/>
      <c r="Q66" s="16"/>
      <c r="R66" s="16"/>
      <c r="S66" s="16"/>
      <c r="T66" s="16"/>
      <c r="U66" s="16"/>
      <c r="V66" s="16"/>
      <c r="W66" s="16"/>
      <c r="X66" s="16"/>
      <c r="Y66" s="16"/>
      <c r="Z66" s="17"/>
      <c r="AE66" s="345"/>
    </row>
    <row r="67" spans="1:31" s="59" customFormat="1" ht="38.25">
      <c r="A67" s="8"/>
      <c r="B67" s="11" t="str">
        <f>+IFERROR(VLOOKUP(C67,Listas!$L$8:$M$101,2,FALSE),"")</f>
        <v>10020102</v>
      </c>
      <c r="C67" s="334" t="s">
        <v>474</v>
      </c>
      <c r="D67" s="274"/>
      <c r="E67" s="275"/>
      <c r="F67" s="357" t="s">
        <v>1053</v>
      </c>
      <c r="G67" s="357" t="s">
        <v>1054</v>
      </c>
      <c r="H67" s="9" t="str">
        <f>+IF(I67=""," ",VLOOKUP(I67,Listas!$I$8:$J$10,2,FALSE))</f>
        <v xml:space="preserve"> </v>
      </c>
      <c r="I67" s="495"/>
      <c r="J67" s="356" t="str">
        <f>+IF(K67=""," ",VLOOKUP(K67,PUC!$B:$C,2,FALSE))</f>
        <v xml:space="preserve"> </v>
      </c>
      <c r="K67" s="334"/>
      <c r="L67" s="11" t="str">
        <f>+IF(M67=""," ",VLOOKUP(M67,Listas!$F$9:$G$17,2,FALSE))</f>
        <v xml:space="preserve"> </v>
      </c>
      <c r="M67" s="475"/>
      <c r="N67" s="345">
        <f t="shared" si="0"/>
        <v>0</v>
      </c>
      <c r="O67" s="15"/>
      <c r="P67" s="16"/>
      <c r="Q67" s="16"/>
      <c r="R67" s="16"/>
      <c r="S67" s="16"/>
      <c r="T67" s="16"/>
      <c r="U67" s="16"/>
      <c r="V67" s="16"/>
      <c r="W67" s="16"/>
      <c r="X67" s="16"/>
      <c r="Y67" s="16"/>
      <c r="Z67" s="17"/>
      <c r="AE67" s="345"/>
    </row>
    <row r="68" spans="1:31" s="59" customFormat="1" ht="51">
      <c r="A68" s="8"/>
      <c r="B68" s="11" t="str">
        <f>+IFERROR(VLOOKUP(C68,Listas!$L$8:$M$101,2,FALSE),"")</f>
        <v>10020102</v>
      </c>
      <c r="C68" s="334" t="s">
        <v>474</v>
      </c>
      <c r="D68" s="274"/>
      <c r="E68" s="275"/>
      <c r="F68" s="357" t="s">
        <v>1055</v>
      </c>
      <c r="G68" s="357" t="s">
        <v>1056</v>
      </c>
      <c r="H68" s="9" t="str">
        <f>+IF(I68=""," ",VLOOKUP(I68,Listas!$I$8:$J$10,2,FALSE))</f>
        <v xml:space="preserve"> </v>
      </c>
      <c r="I68" s="495"/>
      <c r="J68" s="356" t="str">
        <f>+IF(K68=""," ",VLOOKUP(K68,PUC!$B:$C,2,FALSE))</f>
        <v xml:space="preserve"> </v>
      </c>
      <c r="K68" s="334"/>
      <c r="L68" s="11" t="str">
        <f>+IF(M68=""," ",VLOOKUP(M68,Listas!$F$9:$G$17,2,FALSE))</f>
        <v xml:space="preserve"> </v>
      </c>
      <c r="M68" s="475"/>
      <c r="N68" s="345">
        <f t="shared" si="0"/>
        <v>0</v>
      </c>
      <c r="O68" s="15"/>
      <c r="P68" s="16"/>
      <c r="Q68" s="16"/>
      <c r="R68" s="16"/>
      <c r="S68" s="16"/>
      <c r="T68" s="16"/>
      <c r="U68" s="16"/>
      <c r="V68" s="16"/>
      <c r="W68" s="16"/>
      <c r="X68" s="16"/>
      <c r="Y68" s="16"/>
      <c r="Z68" s="17"/>
      <c r="AE68" s="345"/>
    </row>
    <row r="69" spans="1:31" s="59" customFormat="1" ht="29.25" customHeight="1">
      <c r="A69" s="8"/>
      <c r="B69" s="11" t="str">
        <f>+IFERROR(VLOOKUP(C69,Listas!$L$8:$M$101,2,FALSE),"")</f>
        <v>10020102</v>
      </c>
      <c r="C69" s="334" t="s">
        <v>474</v>
      </c>
      <c r="D69" s="274"/>
      <c r="E69" s="275"/>
      <c r="F69" s="274"/>
      <c r="G69" s="275"/>
      <c r="H69" s="9" t="str">
        <f>+IF(I69=""," ",VLOOKUP(I69,Listas!$I$8:$J$10,2,FALSE))</f>
        <v xml:space="preserve"> </v>
      </c>
      <c r="I69" s="495"/>
      <c r="J69" s="356" t="str">
        <f>+IF(K69=""," ",VLOOKUP(K69,PUC!$B:$C,2,FALSE))</f>
        <v xml:space="preserve"> </v>
      </c>
      <c r="K69" s="334"/>
      <c r="L69" s="11" t="str">
        <f>+IF(M69=""," ",VLOOKUP(M69,Listas!$F$9:$G$17,2,FALSE))</f>
        <v xml:space="preserve"> </v>
      </c>
      <c r="M69" s="475"/>
      <c r="N69" s="345">
        <f t="shared" si="0"/>
        <v>0</v>
      </c>
      <c r="O69" s="15"/>
      <c r="P69" s="16"/>
      <c r="Q69" s="16"/>
      <c r="R69" s="16"/>
      <c r="S69" s="16"/>
      <c r="T69" s="16"/>
      <c r="U69" s="16"/>
      <c r="V69" s="16"/>
      <c r="W69" s="16"/>
      <c r="X69" s="16"/>
      <c r="Y69" s="16"/>
      <c r="Z69" s="17"/>
      <c r="AE69" s="345"/>
    </row>
    <row r="70" spans="1:31" s="59" customFormat="1" ht="29.25" customHeight="1" thickBot="1">
      <c r="A70" s="8"/>
      <c r="B70" s="22" t="str">
        <f>+IFERROR(VLOOKUP(C70,Listas!$L$8:$M$101,2,FALSE),"")</f>
        <v>10020102</v>
      </c>
      <c r="C70" s="340" t="s">
        <v>474</v>
      </c>
      <c r="D70" s="278"/>
      <c r="E70" s="279"/>
      <c r="F70" s="278"/>
      <c r="G70" s="279"/>
      <c r="H70" s="21" t="str">
        <f>+IF(I70=""," ",VLOOKUP(I70,Listas!$I$8:$J$10,2,FALSE))</f>
        <v xml:space="preserve"> </v>
      </c>
      <c r="I70" s="496"/>
      <c r="J70" s="363" t="str">
        <f>+IF(K70=""," ",VLOOKUP(K70,PUC!$B:$C,2,FALSE))</f>
        <v xml:space="preserve"> </v>
      </c>
      <c r="K70" s="340"/>
      <c r="L70" s="22" t="str">
        <f>+IF(M70=""," ",VLOOKUP(M70,Listas!$F$9:$G$17,2,FALSE))</f>
        <v xml:space="preserve"> </v>
      </c>
      <c r="M70" s="476"/>
      <c r="N70" s="347">
        <f t="shared" si="0"/>
        <v>0</v>
      </c>
      <c r="O70" s="23"/>
      <c r="P70" s="24"/>
      <c r="Q70" s="24"/>
      <c r="R70" s="24"/>
      <c r="S70" s="24"/>
      <c r="T70" s="24"/>
      <c r="U70" s="24"/>
      <c r="V70" s="24"/>
      <c r="W70" s="24"/>
      <c r="X70" s="24"/>
      <c r="Y70" s="24"/>
      <c r="Z70" s="25"/>
      <c r="AE70" s="347"/>
    </row>
    <row r="71" spans="1:31" s="59" customFormat="1" ht="25.5">
      <c r="A71" s="8"/>
      <c r="B71" s="20" t="str">
        <f>+IFERROR(VLOOKUP(C71,Listas!$L$8:$M$101,2,FALSE),"")</f>
        <v>10030101</v>
      </c>
      <c r="C71" s="339" t="s">
        <v>475</v>
      </c>
      <c r="D71" s="276"/>
      <c r="E71" s="277"/>
      <c r="F71" s="636" t="s">
        <v>1057</v>
      </c>
      <c r="G71" s="386" t="s">
        <v>1058</v>
      </c>
      <c r="H71" s="18" t="str">
        <f>+IF(I71=""," ",VLOOKUP(I71,Listas!$I$8:$J$10,2,FALSE))</f>
        <v xml:space="preserve"> </v>
      </c>
      <c r="I71" s="497"/>
      <c r="J71" s="362" t="str">
        <f>+IF(K71=""," ",VLOOKUP(K71,PUC!$B:$C,2,FALSE))</f>
        <v xml:space="preserve"> </v>
      </c>
      <c r="K71" s="339"/>
      <c r="L71" s="20" t="str">
        <f>+IF(M71=""," ",VLOOKUP(M71,Listas!$F$9:$G$17,2,FALSE))</f>
        <v xml:space="preserve"> </v>
      </c>
      <c r="M71" s="477"/>
      <c r="N71" s="346">
        <f t="shared" si="0"/>
        <v>0</v>
      </c>
      <c r="O71" s="12"/>
      <c r="P71" s="13"/>
      <c r="Q71" s="13"/>
      <c r="R71" s="13"/>
      <c r="S71" s="13"/>
      <c r="T71" s="13"/>
      <c r="U71" s="13"/>
      <c r="V71" s="13"/>
      <c r="W71" s="13"/>
      <c r="X71" s="13"/>
      <c r="Y71" s="13"/>
      <c r="Z71" s="14"/>
      <c r="AE71" s="346"/>
    </row>
    <row r="72" spans="1:31" s="59" customFormat="1" ht="38.25">
      <c r="A72" s="8"/>
      <c r="B72" s="11" t="str">
        <f>+IFERROR(VLOOKUP(C72,Listas!$L$8:$M$101,2,FALSE),"")</f>
        <v>10030101</v>
      </c>
      <c r="C72" s="334" t="s">
        <v>475</v>
      </c>
      <c r="D72" s="274"/>
      <c r="E72" s="275"/>
      <c r="F72" s="635"/>
      <c r="G72" s="385" t="s">
        <v>1075</v>
      </c>
      <c r="H72" s="9" t="str">
        <f>+IF(I72=""," ",VLOOKUP(I72,Listas!$I$8:$J$10,2,FALSE))</f>
        <v xml:space="preserve"> </v>
      </c>
      <c r="I72" s="495"/>
      <c r="J72" s="356" t="str">
        <f>+IF(K72=""," ",VLOOKUP(K72,PUC!$B:$C,2,FALSE))</f>
        <v xml:space="preserve"> </v>
      </c>
      <c r="K72" s="334"/>
      <c r="L72" s="11" t="str">
        <f>+IF(M72=""," ",VLOOKUP(M72,Listas!$F$9:$G$17,2,FALSE))</f>
        <v xml:space="preserve"> </v>
      </c>
      <c r="M72" s="475"/>
      <c r="N72" s="345">
        <f t="shared" si="0"/>
        <v>0</v>
      </c>
      <c r="O72" s="15"/>
      <c r="P72" s="16"/>
      <c r="Q72" s="16"/>
      <c r="R72" s="16"/>
      <c r="S72" s="16"/>
      <c r="T72" s="16"/>
      <c r="U72" s="16"/>
      <c r="V72" s="16"/>
      <c r="W72" s="16"/>
      <c r="X72" s="16"/>
      <c r="Y72" s="16"/>
      <c r="Z72" s="17"/>
      <c r="AE72" s="345"/>
    </row>
    <row r="73" spans="1:31" s="59" customFormat="1" ht="38.25">
      <c r="A73" s="8"/>
      <c r="B73" s="11" t="str">
        <f>+IFERROR(VLOOKUP(C73,Listas!$L$8:$M$101,2,FALSE),"")</f>
        <v>10030101</v>
      </c>
      <c r="C73" s="334" t="s">
        <v>475</v>
      </c>
      <c r="D73" s="274"/>
      <c r="E73" s="275"/>
      <c r="F73" s="634" t="s">
        <v>1059</v>
      </c>
      <c r="G73" s="385" t="s">
        <v>1060</v>
      </c>
      <c r="H73" s="9" t="str">
        <f>+IF(I73=""," ",VLOOKUP(I73,Listas!$I$8:$J$10,2,FALSE))</f>
        <v xml:space="preserve"> </v>
      </c>
      <c r="I73" s="495"/>
      <c r="J73" s="356" t="str">
        <f>+IF(K73=""," ",VLOOKUP(K73,PUC!$B:$C,2,FALSE))</f>
        <v xml:space="preserve"> </v>
      </c>
      <c r="K73" s="334"/>
      <c r="L73" s="11" t="str">
        <f>+IF(M73=""," ",VLOOKUP(M73,Listas!$F$9:$G$17,2,FALSE))</f>
        <v xml:space="preserve"> </v>
      </c>
      <c r="M73" s="475"/>
      <c r="N73" s="345">
        <f t="shared" si="0"/>
        <v>0</v>
      </c>
      <c r="O73" s="15"/>
      <c r="P73" s="16"/>
      <c r="Q73" s="16"/>
      <c r="R73" s="16"/>
      <c r="S73" s="16"/>
      <c r="T73" s="16"/>
      <c r="U73" s="16"/>
      <c r="V73" s="16"/>
      <c r="W73" s="16"/>
      <c r="X73" s="16"/>
      <c r="Y73" s="16"/>
      <c r="Z73" s="17"/>
      <c r="AE73" s="345"/>
    </row>
    <row r="74" spans="1:31" s="59" customFormat="1" ht="38.25">
      <c r="A74" s="8"/>
      <c r="B74" s="11" t="str">
        <f>+IFERROR(VLOOKUP(C74,Listas!$L$8:$M$101,2,FALSE),"")</f>
        <v>10030101</v>
      </c>
      <c r="C74" s="334" t="s">
        <v>475</v>
      </c>
      <c r="D74" s="274"/>
      <c r="E74" s="275"/>
      <c r="F74" s="637"/>
      <c r="G74" s="385" t="s">
        <v>1061</v>
      </c>
      <c r="H74" s="9" t="str">
        <f>+IF(I74=""," ",VLOOKUP(I74,Listas!$I$8:$J$10,2,FALSE))</f>
        <v xml:space="preserve"> </v>
      </c>
      <c r="I74" s="495"/>
      <c r="J74" s="356" t="str">
        <f>+IF(K74=""," ",VLOOKUP(K74,PUC!$B:$C,2,FALSE))</f>
        <v xml:space="preserve"> </v>
      </c>
      <c r="K74" s="334"/>
      <c r="L74" s="11" t="str">
        <f>+IF(M74=""," ",VLOOKUP(M74,Listas!$F$9:$G$17,2,FALSE))</f>
        <v xml:space="preserve"> </v>
      </c>
      <c r="M74" s="475"/>
      <c r="N74" s="345">
        <f t="shared" si="0"/>
        <v>0</v>
      </c>
      <c r="O74" s="15"/>
      <c r="P74" s="16"/>
      <c r="Q74" s="16"/>
      <c r="R74" s="16"/>
      <c r="S74" s="16"/>
      <c r="T74" s="16"/>
      <c r="U74" s="16"/>
      <c r="V74" s="16"/>
      <c r="W74" s="16"/>
      <c r="X74" s="16"/>
      <c r="Y74" s="16"/>
      <c r="Z74" s="17"/>
      <c r="AE74" s="345"/>
    </row>
    <row r="75" spans="1:31" s="59" customFormat="1" ht="25.5">
      <c r="A75" s="8"/>
      <c r="B75" s="11" t="str">
        <f>+IFERROR(VLOOKUP(C75,Listas!$L$8:$M$101,2,FALSE),"")</f>
        <v>10030101</v>
      </c>
      <c r="C75" s="334" t="s">
        <v>475</v>
      </c>
      <c r="D75" s="274"/>
      <c r="E75" s="275"/>
      <c r="F75" s="637"/>
      <c r="G75" s="385" t="s">
        <v>1062</v>
      </c>
      <c r="H75" s="9" t="str">
        <f>+IF(I75=""," ",VLOOKUP(I75,Listas!$I$8:$J$10,2,FALSE))</f>
        <v xml:space="preserve"> </v>
      </c>
      <c r="I75" s="495"/>
      <c r="J75" s="356" t="str">
        <f>+IF(K75=""," ",VLOOKUP(K75,PUC!$B:$C,2,FALSE))</f>
        <v xml:space="preserve"> </v>
      </c>
      <c r="K75" s="334"/>
      <c r="L75" s="11" t="str">
        <f>+IF(M75=""," ",VLOOKUP(M75,Listas!$F$9:$G$17,2,FALSE))</f>
        <v xml:space="preserve"> </v>
      </c>
      <c r="M75" s="475"/>
      <c r="N75" s="345">
        <f t="shared" si="0"/>
        <v>0</v>
      </c>
      <c r="O75" s="15"/>
      <c r="P75" s="16"/>
      <c r="Q75" s="16"/>
      <c r="R75" s="16"/>
      <c r="S75" s="16"/>
      <c r="T75" s="16"/>
      <c r="U75" s="16"/>
      <c r="V75" s="16"/>
      <c r="W75" s="16"/>
      <c r="X75" s="16"/>
      <c r="Y75" s="16"/>
      <c r="Z75" s="17"/>
      <c r="AE75" s="345"/>
    </row>
    <row r="76" spans="1:31" s="59" customFormat="1" ht="25.5">
      <c r="A76" s="8"/>
      <c r="B76" s="11" t="str">
        <f>+IFERROR(VLOOKUP(C76,Listas!$L$8:$M$101,2,FALSE),"")</f>
        <v>10030101</v>
      </c>
      <c r="C76" s="334" t="s">
        <v>475</v>
      </c>
      <c r="D76" s="274"/>
      <c r="E76" s="275"/>
      <c r="F76" s="637"/>
      <c r="G76" s="385" t="s">
        <v>1063</v>
      </c>
      <c r="H76" s="9" t="str">
        <f>+IF(I76=""," ",VLOOKUP(I76,Listas!$I$8:$J$10,2,FALSE))</f>
        <v xml:space="preserve"> </v>
      </c>
      <c r="I76" s="495"/>
      <c r="J76" s="356" t="str">
        <f>+IF(K76=""," ",VLOOKUP(K76,PUC!$B:$C,2,FALSE))</f>
        <v xml:space="preserve"> </v>
      </c>
      <c r="K76" s="334"/>
      <c r="L76" s="11" t="str">
        <f>+IF(M76=""," ",VLOOKUP(M76,Listas!$F$9:$G$17,2,FALSE))</f>
        <v xml:space="preserve"> </v>
      </c>
      <c r="M76" s="475"/>
      <c r="N76" s="345">
        <f t="shared" si="0"/>
        <v>0</v>
      </c>
      <c r="O76" s="15"/>
      <c r="P76" s="16"/>
      <c r="Q76" s="16"/>
      <c r="R76" s="16"/>
      <c r="S76" s="16"/>
      <c r="T76" s="16"/>
      <c r="U76" s="16"/>
      <c r="V76" s="16"/>
      <c r="W76" s="16"/>
      <c r="X76" s="16"/>
      <c r="Y76" s="16"/>
      <c r="Z76" s="17"/>
      <c r="AE76" s="345"/>
    </row>
    <row r="77" spans="1:31" s="59" customFormat="1" ht="89.25">
      <c r="A77" s="8"/>
      <c r="B77" s="11" t="str">
        <f>+IFERROR(VLOOKUP(C77,Listas!$L$8:$M$101,2,FALSE),"")</f>
        <v>10030101</v>
      </c>
      <c r="C77" s="334" t="s">
        <v>475</v>
      </c>
      <c r="D77" s="274"/>
      <c r="E77" s="275"/>
      <c r="F77" s="637"/>
      <c r="G77" s="385" t="s">
        <v>1064</v>
      </c>
      <c r="H77" s="9" t="str">
        <f>+IF(I77=""," ",VLOOKUP(I77,Listas!$I$8:$J$10,2,FALSE))</f>
        <v xml:space="preserve"> </v>
      </c>
      <c r="I77" s="495"/>
      <c r="J77" s="356" t="str">
        <f>+IF(K77=""," ",VLOOKUP(K77,PUC!$B:$C,2,FALSE))</f>
        <v xml:space="preserve"> </v>
      </c>
      <c r="K77" s="334"/>
      <c r="L77" s="11" t="str">
        <f>+IF(M77=""," ",VLOOKUP(M77,Listas!$F$9:$G$17,2,FALSE))</f>
        <v xml:space="preserve"> </v>
      </c>
      <c r="M77" s="475"/>
      <c r="N77" s="345">
        <f t="shared" si="0"/>
        <v>0</v>
      </c>
      <c r="O77" s="15"/>
      <c r="P77" s="16"/>
      <c r="Q77" s="16"/>
      <c r="R77" s="16"/>
      <c r="S77" s="16"/>
      <c r="T77" s="16"/>
      <c r="U77" s="16"/>
      <c r="V77" s="16"/>
      <c r="W77" s="16"/>
      <c r="X77" s="16"/>
      <c r="Y77" s="16"/>
      <c r="Z77" s="17"/>
      <c r="AE77" s="345"/>
    </row>
    <row r="78" spans="1:31" s="59" customFormat="1" ht="51">
      <c r="A78" s="8"/>
      <c r="B78" s="11" t="str">
        <f>+IFERROR(VLOOKUP(C78,Listas!$L$8:$M$101,2,FALSE),"")</f>
        <v>10030101</v>
      </c>
      <c r="C78" s="334" t="s">
        <v>475</v>
      </c>
      <c r="D78" s="274"/>
      <c r="E78" s="275"/>
      <c r="F78" s="637"/>
      <c r="G78" s="385" t="s">
        <v>1065</v>
      </c>
      <c r="H78" s="9" t="str">
        <f>+IF(I78=""," ",VLOOKUP(I78,Listas!$I$8:$J$10,2,FALSE))</f>
        <v>02</v>
      </c>
      <c r="I78" s="495" t="s">
        <v>464</v>
      </c>
      <c r="J78" s="356" t="str">
        <f>+IF(K78=""," ",VLOOKUP(K78,PUC!$B:$C,2,FALSE))</f>
        <v xml:space="preserve"> </v>
      </c>
      <c r="K78" s="334"/>
      <c r="L78" s="11" t="str">
        <f>+IF(M78=""," ",VLOOKUP(M78,Listas!$F$9:$G$17,2,FALSE))</f>
        <v xml:space="preserve"> </v>
      </c>
      <c r="M78" s="475"/>
      <c r="N78" s="345">
        <f t="shared" si="0"/>
        <v>0</v>
      </c>
      <c r="O78" s="15"/>
      <c r="P78" s="16"/>
      <c r="Q78" s="16"/>
      <c r="R78" s="16"/>
      <c r="S78" s="16"/>
      <c r="T78" s="16"/>
      <c r="U78" s="16"/>
      <c r="V78" s="16"/>
      <c r="W78" s="16"/>
      <c r="X78" s="16"/>
      <c r="Y78" s="16"/>
      <c r="Z78" s="17"/>
      <c r="AE78" s="345"/>
    </row>
    <row r="79" spans="1:31" s="59" customFormat="1" ht="25.5">
      <c r="A79" s="8"/>
      <c r="B79" s="11" t="str">
        <f>+IFERROR(VLOOKUP(C79,Listas!$L$8:$M$101,2,FALSE),"")</f>
        <v>10030103</v>
      </c>
      <c r="C79" s="334" t="s">
        <v>1367</v>
      </c>
      <c r="D79" s="274"/>
      <c r="E79" s="275"/>
      <c r="F79" s="635"/>
      <c r="G79" s="519" t="s">
        <v>1066</v>
      </c>
      <c r="H79" s="520" t="str">
        <f>+IF(I79=""," ",VLOOKUP(I79,Listas!$I$8:$J$10,2,FALSE))</f>
        <v>02</v>
      </c>
      <c r="I79" s="521" t="s">
        <v>464</v>
      </c>
      <c r="J79" s="522">
        <f>+IF(K79=""," ",VLOOKUP(K79,PUC!$B:$C,2,FALSE))</f>
        <v>6208020203</v>
      </c>
      <c r="K79" s="523" t="s">
        <v>811</v>
      </c>
      <c r="L79" s="524" t="str">
        <f>+IF(M79=""," ",VLOOKUP(M79,Listas!$F$9:$G$17,2,FALSE))</f>
        <v>02</v>
      </c>
      <c r="M79" s="525" t="s">
        <v>444</v>
      </c>
      <c r="N79" s="526">
        <v>6080000</v>
      </c>
      <c r="O79" s="15"/>
      <c r="P79" s="16"/>
      <c r="Q79" s="16"/>
      <c r="R79" s="16"/>
      <c r="S79" s="16"/>
      <c r="T79" s="16"/>
      <c r="U79" s="16"/>
      <c r="V79" s="16"/>
      <c r="W79" s="16"/>
      <c r="X79" s="16"/>
      <c r="Y79" s="16"/>
      <c r="Z79" s="17"/>
      <c r="AE79" s="345"/>
    </row>
    <row r="80" spans="1:31" s="59" customFormat="1" ht="114.75">
      <c r="A80" s="8"/>
      <c r="B80" s="11" t="str">
        <f>+IFERROR(VLOOKUP(C80,Listas!$L$8:$M$101,2,FALSE),"")</f>
        <v>10030101</v>
      </c>
      <c r="C80" s="334" t="s">
        <v>475</v>
      </c>
      <c r="D80" s="274"/>
      <c r="E80" s="275"/>
      <c r="F80" s="357" t="s">
        <v>1067</v>
      </c>
      <c r="G80" s="385" t="s">
        <v>1068</v>
      </c>
      <c r="H80" s="9" t="str">
        <f>+IF(I80=""," ",VLOOKUP(I80,Listas!$I$8:$J$10,2,FALSE))</f>
        <v xml:space="preserve"> </v>
      </c>
      <c r="I80" s="495"/>
      <c r="J80" s="356" t="str">
        <f>+IF(K80=""," ",VLOOKUP(K80,PUC!$B:$C,2,FALSE))</f>
        <v xml:space="preserve"> </v>
      </c>
      <c r="K80" s="334"/>
      <c r="L80" s="11" t="str">
        <f>+IF(M80=""," ",VLOOKUP(M80,Listas!$F$9:$G$17,2,FALSE))</f>
        <v xml:space="preserve"> </v>
      </c>
      <c r="M80" s="475"/>
      <c r="N80" s="345">
        <f t="shared" ref="N80:N142" si="1">+IFERROR((MROUND(AE80*$AD$12,1000)),"")</f>
        <v>0</v>
      </c>
      <c r="O80" s="15"/>
      <c r="P80" s="16"/>
      <c r="Q80" s="16"/>
      <c r="R80" s="16"/>
      <c r="S80" s="16"/>
      <c r="T80" s="16"/>
      <c r="U80" s="16"/>
      <c r="V80" s="16"/>
      <c r="W80" s="16"/>
      <c r="X80" s="16"/>
      <c r="Y80" s="16"/>
      <c r="Z80" s="17"/>
      <c r="AE80" s="345"/>
    </row>
    <row r="81" spans="1:31" s="59" customFormat="1" ht="51">
      <c r="A81" s="8"/>
      <c r="B81" s="11" t="str">
        <f>+IFERROR(VLOOKUP(C81,Listas!$L$8:$M$101,2,FALSE),"")</f>
        <v>10030101</v>
      </c>
      <c r="C81" s="334" t="s">
        <v>475</v>
      </c>
      <c r="D81" s="274"/>
      <c r="E81" s="275"/>
      <c r="F81" s="357" t="s">
        <v>1069</v>
      </c>
      <c r="G81" s="385" t="s">
        <v>1070</v>
      </c>
      <c r="H81" s="9" t="str">
        <f>+IF(I81=""," ",VLOOKUP(I81,Listas!$I$8:$J$10,2,FALSE))</f>
        <v xml:space="preserve"> </v>
      </c>
      <c r="I81" s="495"/>
      <c r="J81" s="356" t="str">
        <f>+IF(K81=""," ",VLOOKUP(K81,PUC!$B:$C,2,FALSE))</f>
        <v xml:space="preserve"> </v>
      </c>
      <c r="K81" s="334"/>
      <c r="L81" s="11" t="str">
        <f>+IF(M81=""," ",VLOOKUP(M81,Listas!$F$9:$G$17,2,FALSE))</f>
        <v xml:space="preserve"> </v>
      </c>
      <c r="M81" s="475"/>
      <c r="N81" s="345">
        <f t="shared" si="1"/>
        <v>0</v>
      </c>
      <c r="O81" s="15"/>
      <c r="P81" s="16"/>
      <c r="Q81" s="16"/>
      <c r="R81" s="16"/>
      <c r="S81" s="16"/>
      <c r="T81" s="16"/>
      <c r="U81" s="16"/>
      <c r="V81" s="16"/>
      <c r="W81" s="16"/>
      <c r="X81" s="16"/>
      <c r="Y81" s="16"/>
      <c r="Z81" s="17"/>
      <c r="AE81" s="345"/>
    </row>
    <row r="82" spans="1:31" s="59" customFormat="1" ht="102">
      <c r="A82" s="8"/>
      <c r="B82" s="11" t="str">
        <f>+IFERROR(VLOOKUP(C82,Listas!$L$8:$M$101,2,FALSE),"")</f>
        <v>10030101</v>
      </c>
      <c r="C82" s="334" t="s">
        <v>475</v>
      </c>
      <c r="D82" s="274"/>
      <c r="E82" s="275"/>
      <c r="F82" s="357" t="s">
        <v>1071</v>
      </c>
      <c r="G82" s="385" t="s">
        <v>1072</v>
      </c>
      <c r="H82" s="9" t="str">
        <f>+IF(I82=""," ",VLOOKUP(I82,Listas!$I$8:$J$10,2,FALSE))</f>
        <v xml:space="preserve"> </v>
      </c>
      <c r="I82" s="495"/>
      <c r="J82" s="356" t="str">
        <f>+IF(K82=""," ",VLOOKUP(K82,PUC!$B:$C,2,FALSE))</f>
        <v xml:space="preserve"> </v>
      </c>
      <c r="K82" s="334"/>
      <c r="L82" s="11" t="str">
        <f>+IF(M82=""," ",VLOOKUP(M82,Listas!$F$9:$G$17,2,FALSE))</f>
        <v xml:space="preserve"> </v>
      </c>
      <c r="M82" s="475"/>
      <c r="N82" s="345">
        <f t="shared" si="1"/>
        <v>0</v>
      </c>
      <c r="O82" s="15"/>
      <c r="P82" s="16"/>
      <c r="Q82" s="16"/>
      <c r="R82" s="16"/>
      <c r="S82" s="16"/>
      <c r="T82" s="16"/>
      <c r="U82" s="16"/>
      <c r="V82" s="16"/>
      <c r="W82" s="16"/>
      <c r="X82" s="16"/>
      <c r="Y82" s="16"/>
      <c r="Z82" s="17"/>
      <c r="AE82" s="345"/>
    </row>
    <row r="83" spans="1:31" s="59" customFormat="1" ht="38.25">
      <c r="A83" s="8"/>
      <c r="B83" s="11" t="str">
        <f>+IFERROR(VLOOKUP(C83,Listas!$L$8:$M$101,2,FALSE),"")</f>
        <v>10030101</v>
      </c>
      <c r="C83" s="334" t="s">
        <v>475</v>
      </c>
      <c r="D83" s="274"/>
      <c r="E83" s="275"/>
      <c r="F83" s="357" t="s">
        <v>1073</v>
      </c>
      <c r="G83" s="385" t="s">
        <v>1074</v>
      </c>
      <c r="H83" s="9" t="str">
        <f>+IF(I83=""," ",VLOOKUP(I83,Listas!$I$8:$J$10,2,FALSE))</f>
        <v xml:space="preserve"> </v>
      </c>
      <c r="I83" s="495"/>
      <c r="J83" s="356" t="str">
        <f>+IF(K83=""," ",VLOOKUP(K83,PUC!$B:$C,2,FALSE))</f>
        <v xml:space="preserve"> </v>
      </c>
      <c r="K83" s="334"/>
      <c r="L83" s="11" t="str">
        <f>+IF(M83=""," ",VLOOKUP(M83,Listas!$F$9:$G$17,2,FALSE))</f>
        <v xml:space="preserve"> </v>
      </c>
      <c r="M83" s="475"/>
      <c r="N83" s="345">
        <f t="shared" si="1"/>
        <v>0</v>
      </c>
      <c r="O83" s="15"/>
      <c r="P83" s="16"/>
      <c r="Q83" s="16"/>
      <c r="R83" s="16"/>
      <c r="S83" s="16"/>
      <c r="T83" s="16"/>
      <c r="U83" s="16"/>
      <c r="V83" s="16"/>
      <c r="W83" s="16"/>
      <c r="X83" s="16"/>
      <c r="Y83" s="16"/>
      <c r="Z83" s="17"/>
      <c r="AE83" s="345"/>
    </row>
    <row r="84" spans="1:31" s="59" customFormat="1" ht="29.25" customHeight="1">
      <c r="A84" s="8"/>
      <c r="B84" s="11" t="str">
        <f>+IFERROR(VLOOKUP(C84,Listas!$L$8:$M$101,2,FALSE),"")</f>
        <v>10030101</v>
      </c>
      <c r="C84" s="334" t="s">
        <v>475</v>
      </c>
      <c r="D84" s="274"/>
      <c r="E84" s="275"/>
      <c r="F84" s="301"/>
      <c r="G84" s="358"/>
      <c r="H84" s="9" t="str">
        <f>+IF(I84=""," ",VLOOKUP(I84,Listas!$I$8:$J$10,2,FALSE))</f>
        <v xml:space="preserve"> </v>
      </c>
      <c r="I84" s="495"/>
      <c r="J84" s="356" t="str">
        <f>+IF(K84=""," ",VLOOKUP(K84,PUC!$B:$C,2,FALSE))</f>
        <v xml:space="preserve"> </v>
      </c>
      <c r="K84" s="334"/>
      <c r="L84" s="11" t="str">
        <f>+IF(M84=""," ",VLOOKUP(M84,Listas!$F$9:$G$17,2,FALSE))</f>
        <v xml:space="preserve"> </v>
      </c>
      <c r="M84" s="475"/>
      <c r="N84" s="345">
        <f t="shared" si="1"/>
        <v>0</v>
      </c>
      <c r="O84" s="15"/>
      <c r="P84" s="16"/>
      <c r="Q84" s="16"/>
      <c r="R84" s="16"/>
      <c r="S84" s="16"/>
      <c r="T84" s="16"/>
      <c r="U84" s="16"/>
      <c r="V84" s="16"/>
      <c r="W84" s="16"/>
      <c r="X84" s="16"/>
      <c r="Y84" s="16"/>
      <c r="Z84" s="17"/>
      <c r="AE84" s="345"/>
    </row>
    <row r="85" spans="1:31" s="59" customFormat="1" ht="29.25" customHeight="1" thickBot="1">
      <c r="A85" s="8"/>
      <c r="B85" s="22" t="str">
        <f>+IFERROR(VLOOKUP(C85,Listas!$L$8:$M$101,2,FALSE),"")</f>
        <v>10030101</v>
      </c>
      <c r="C85" s="340" t="s">
        <v>475</v>
      </c>
      <c r="D85" s="278"/>
      <c r="E85" s="279"/>
      <c r="F85" s="278"/>
      <c r="G85" s="279"/>
      <c r="H85" s="21" t="str">
        <f>+IF(I85=""," ",VLOOKUP(I85,Listas!$I$8:$J$10,2,FALSE))</f>
        <v xml:space="preserve"> </v>
      </c>
      <c r="I85" s="496"/>
      <c r="J85" s="363" t="str">
        <f>+IF(K85=""," ",VLOOKUP(K85,PUC!$B:$C,2,FALSE))</f>
        <v xml:space="preserve"> </v>
      </c>
      <c r="K85" s="340"/>
      <c r="L85" s="22" t="str">
        <f>+IF(M85=""," ",VLOOKUP(M85,Listas!$F$9:$G$17,2,FALSE))</f>
        <v xml:space="preserve"> </v>
      </c>
      <c r="M85" s="476"/>
      <c r="N85" s="347">
        <f t="shared" si="1"/>
        <v>0</v>
      </c>
      <c r="O85" s="23"/>
      <c r="P85" s="24"/>
      <c r="Q85" s="24"/>
      <c r="R85" s="24"/>
      <c r="S85" s="24"/>
      <c r="T85" s="24"/>
      <c r="U85" s="24"/>
      <c r="V85" s="24"/>
      <c r="W85" s="24"/>
      <c r="X85" s="24"/>
      <c r="Y85" s="24"/>
      <c r="Z85" s="25"/>
      <c r="AE85" s="347"/>
    </row>
    <row r="86" spans="1:31" s="59" customFormat="1" ht="38.25">
      <c r="A86" s="8"/>
      <c r="B86" s="20" t="str">
        <f>+IFERROR(VLOOKUP(C86,Listas!$L$8:$M$101,2,FALSE),"")</f>
        <v>10030102</v>
      </c>
      <c r="C86" s="339" t="s">
        <v>476</v>
      </c>
      <c r="D86" s="276"/>
      <c r="E86" s="277"/>
      <c r="F86" s="636" t="s">
        <v>1076</v>
      </c>
      <c r="G86" s="386" t="s">
        <v>1077</v>
      </c>
      <c r="H86" s="18" t="str">
        <f>+IF(I86=""," ",VLOOKUP(I86,Listas!$I$8:$J$10,2,FALSE))</f>
        <v xml:space="preserve"> </v>
      </c>
      <c r="I86" s="497"/>
      <c r="J86" s="362" t="str">
        <f>+IF(K86=""," ",VLOOKUP(K86,PUC!$B:$C,2,FALSE))</f>
        <v xml:space="preserve"> </v>
      </c>
      <c r="K86" s="339"/>
      <c r="L86" s="20" t="str">
        <f>+IF(M86=""," ",VLOOKUP(M86,Listas!$F$9:$G$17,2,FALSE))</f>
        <v xml:space="preserve"> </v>
      </c>
      <c r="M86" s="477"/>
      <c r="N86" s="346">
        <f t="shared" si="1"/>
        <v>0</v>
      </c>
      <c r="O86" s="12"/>
      <c r="P86" s="13"/>
      <c r="Q86" s="13"/>
      <c r="R86" s="13"/>
      <c r="S86" s="13"/>
      <c r="T86" s="13"/>
      <c r="U86" s="13"/>
      <c r="V86" s="13"/>
      <c r="W86" s="13"/>
      <c r="X86" s="13"/>
      <c r="Y86" s="13"/>
      <c r="Z86" s="14"/>
      <c r="AE86" s="346"/>
    </row>
    <row r="87" spans="1:31" s="59" customFormat="1" ht="18">
      <c r="A87" s="8"/>
      <c r="B87" s="11" t="str">
        <f>+IFERROR(VLOOKUP(C87,Listas!$L$8:$M$101,2,FALSE),"")</f>
        <v>10030102</v>
      </c>
      <c r="C87" s="334" t="s">
        <v>476</v>
      </c>
      <c r="D87" s="274"/>
      <c r="E87" s="275"/>
      <c r="F87" s="635"/>
      <c r="G87" s="385" t="s">
        <v>1336</v>
      </c>
      <c r="H87" s="9" t="str">
        <f>+IF(I87=""," ",VLOOKUP(I87,Listas!$I$8:$J$10,2,FALSE))</f>
        <v xml:space="preserve"> </v>
      </c>
      <c r="I87" s="495"/>
      <c r="J87" s="356" t="str">
        <f>+IF(K87=""," ",VLOOKUP(K87,PUC!$B:$C,2,FALSE))</f>
        <v xml:space="preserve"> </v>
      </c>
      <c r="K87" s="334"/>
      <c r="L87" s="11" t="str">
        <f>+IF(M87=""," ",VLOOKUP(M87,Listas!$F$9:$G$17,2,FALSE))</f>
        <v xml:space="preserve"> </v>
      </c>
      <c r="M87" s="475"/>
      <c r="N87" s="345">
        <f t="shared" si="1"/>
        <v>0</v>
      </c>
      <c r="O87" s="15"/>
      <c r="P87" s="16"/>
      <c r="Q87" s="16"/>
      <c r="R87" s="16"/>
      <c r="S87" s="16"/>
      <c r="T87" s="16"/>
      <c r="U87" s="16"/>
      <c r="V87" s="16"/>
      <c r="W87" s="16"/>
      <c r="X87" s="16"/>
      <c r="Y87" s="16"/>
      <c r="Z87" s="17"/>
      <c r="AE87" s="345"/>
    </row>
    <row r="88" spans="1:31" s="59" customFormat="1" ht="29.25" customHeight="1">
      <c r="A88" s="8"/>
      <c r="B88" s="11" t="str">
        <f>+IFERROR(VLOOKUP(C88,Listas!$L$8:$M$101,2,FALSE),"")</f>
        <v>10030102</v>
      </c>
      <c r="C88" s="334" t="s">
        <v>476</v>
      </c>
      <c r="D88" s="274"/>
      <c r="E88" s="275"/>
      <c r="F88" s="634" t="s">
        <v>1078</v>
      </c>
      <c r="G88" s="385" t="s">
        <v>1079</v>
      </c>
      <c r="H88" s="9" t="str">
        <f>+IF(I88=""," ",VLOOKUP(I88,Listas!$I$8:$J$10,2,FALSE))</f>
        <v xml:space="preserve"> </v>
      </c>
      <c r="I88" s="495"/>
      <c r="J88" s="356" t="str">
        <f>+IF(K88=""," ",VLOOKUP(K88,PUC!$B:$C,2,FALSE))</f>
        <v xml:space="preserve"> </v>
      </c>
      <c r="K88" s="334"/>
      <c r="L88" s="11" t="str">
        <f>+IF(M88=""," ",VLOOKUP(M88,Listas!$F$9:$G$17,2,FALSE))</f>
        <v xml:space="preserve"> </v>
      </c>
      <c r="M88" s="475"/>
      <c r="N88" s="345">
        <f t="shared" si="1"/>
        <v>0</v>
      </c>
      <c r="O88" s="15"/>
      <c r="P88" s="16"/>
      <c r="Q88" s="16"/>
      <c r="R88" s="16"/>
      <c r="S88" s="16"/>
      <c r="T88" s="16"/>
      <c r="U88" s="16"/>
      <c r="V88" s="16"/>
      <c r="W88" s="16"/>
      <c r="X88" s="16"/>
      <c r="Y88" s="16"/>
      <c r="Z88" s="17"/>
      <c r="AE88" s="345"/>
    </row>
    <row r="89" spans="1:31" s="59" customFormat="1" ht="29.25" customHeight="1">
      <c r="A89" s="8"/>
      <c r="B89" s="11" t="str">
        <f>+IFERROR(VLOOKUP(C89,Listas!$L$8:$M$101,2,FALSE),"")</f>
        <v>10030102</v>
      </c>
      <c r="C89" s="334" t="s">
        <v>476</v>
      </c>
      <c r="D89" s="274"/>
      <c r="E89" s="275"/>
      <c r="F89" s="635"/>
      <c r="G89" s="385" t="s">
        <v>1080</v>
      </c>
      <c r="H89" s="9" t="str">
        <f>+IF(I89=""," ",VLOOKUP(I89,Listas!$I$8:$J$10,2,FALSE))</f>
        <v xml:space="preserve"> </v>
      </c>
      <c r="I89" s="495"/>
      <c r="J89" s="356" t="str">
        <f>+IF(K89=""," ",VLOOKUP(K89,PUC!$B:$C,2,FALSE))</f>
        <v xml:space="preserve"> </v>
      </c>
      <c r="K89" s="334"/>
      <c r="L89" s="11" t="str">
        <f>+IF(M89=""," ",VLOOKUP(M89,Listas!$F$9:$G$17,2,FALSE))</f>
        <v xml:space="preserve"> </v>
      </c>
      <c r="M89" s="475"/>
      <c r="N89" s="345">
        <f t="shared" si="1"/>
        <v>0</v>
      </c>
      <c r="O89" s="15"/>
      <c r="P89" s="16"/>
      <c r="Q89" s="16"/>
      <c r="R89" s="16"/>
      <c r="S89" s="16"/>
      <c r="T89" s="16"/>
      <c r="U89" s="16"/>
      <c r="V89" s="16"/>
      <c r="W89" s="16"/>
      <c r="X89" s="16"/>
      <c r="Y89" s="16"/>
      <c r="Z89" s="17"/>
      <c r="AE89" s="345"/>
    </row>
    <row r="90" spans="1:31" s="59" customFormat="1" ht="29.25" customHeight="1">
      <c r="A90" s="8"/>
      <c r="B90" s="11" t="str">
        <f>+IFERROR(VLOOKUP(C90,Listas!$L$8:$M$101,2,FALSE),"")</f>
        <v>10030102</v>
      </c>
      <c r="C90" s="334" t="s">
        <v>476</v>
      </c>
      <c r="D90" s="274"/>
      <c r="E90" s="275"/>
      <c r="F90" s="274"/>
      <c r="G90" s="385" t="s">
        <v>1344</v>
      </c>
      <c r="H90" s="9" t="str">
        <f>+IF(I90=""," ",VLOOKUP(I90,Listas!$I$8:$J$10,2,FALSE))</f>
        <v xml:space="preserve"> </v>
      </c>
      <c r="I90" s="495"/>
      <c r="J90" s="356" t="str">
        <f>+IF(K90=""," ",VLOOKUP(K90,PUC!$B:$C,2,FALSE))</f>
        <v xml:space="preserve"> </v>
      </c>
      <c r="K90" s="334"/>
      <c r="L90" s="11" t="str">
        <f>+IF(M90=""," ",VLOOKUP(M90,Listas!$F$9:$G$17,2,FALSE))</f>
        <v xml:space="preserve"> </v>
      </c>
      <c r="M90" s="475"/>
      <c r="N90" s="345">
        <f t="shared" si="1"/>
        <v>0</v>
      </c>
      <c r="O90" s="15"/>
      <c r="P90" s="16"/>
      <c r="Q90" s="16"/>
      <c r="R90" s="16"/>
      <c r="S90" s="16"/>
      <c r="T90" s="16"/>
      <c r="U90" s="16"/>
      <c r="V90" s="16"/>
      <c r="W90" s="16"/>
      <c r="X90" s="16"/>
      <c r="Y90" s="16"/>
      <c r="Z90" s="17"/>
      <c r="AE90" s="345"/>
    </row>
    <row r="91" spans="1:31" s="59" customFormat="1" ht="29.25" customHeight="1">
      <c r="A91" s="8"/>
      <c r="B91" s="11" t="str">
        <f>+IFERROR(VLOOKUP(C91,Listas!$L$8:$M$101,2,FALSE),"")</f>
        <v>10030102</v>
      </c>
      <c r="C91" s="334" t="s">
        <v>476</v>
      </c>
      <c r="D91" s="274"/>
      <c r="E91" s="275"/>
      <c r="F91" s="274"/>
      <c r="G91" s="385" t="s">
        <v>1081</v>
      </c>
      <c r="H91" s="9" t="str">
        <f>+IF(I91=""," ",VLOOKUP(I91,Listas!$I$8:$J$10,2,FALSE))</f>
        <v>02</v>
      </c>
      <c r="I91" s="495" t="s">
        <v>464</v>
      </c>
      <c r="J91" s="356">
        <f>+IF(K91=""," ",VLOOKUP(K91,PUC!$B:$C,2,FALSE))</f>
        <v>6208020505</v>
      </c>
      <c r="K91" s="334" t="s">
        <v>804</v>
      </c>
      <c r="L91" s="11" t="str">
        <f>+IF(M91=""," ",VLOOKUP(M91,Listas!$F$9:$G$17,2,FALSE))</f>
        <v>02</v>
      </c>
      <c r="M91" s="475" t="s">
        <v>444</v>
      </c>
      <c r="N91" s="345">
        <f t="shared" si="1"/>
        <v>600000</v>
      </c>
      <c r="O91" s="15"/>
      <c r="P91" s="16"/>
      <c r="Q91" s="16"/>
      <c r="R91" s="16"/>
      <c r="S91" s="16"/>
      <c r="T91" s="16"/>
      <c r="U91" s="16"/>
      <c r="V91" s="16"/>
      <c r="W91" s="16"/>
      <c r="X91" s="16"/>
      <c r="Y91" s="16"/>
      <c r="Z91" s="17"/>
      <c r="AE91" s="345">
        <v>3000000</v>
      </c>
    </row>
    <row r="92" spans="1:31" s="59" customFormat="1" ht="29.25" customHeight="1">
      <c r="A92" s="8"/>
      <c r="B92" s="11" t="str">
        <f>+IFERROR(VLOOKUP(C92,Listas!$L$8:$M$101,2,FALSE),"")</f>
        <v>10030102</v>
      </c>
      <c r="C92" s="334" t="s">
        <v>476</v>
      </c>
      <c r="D92" s="274"/>
      <c r="E92" s="275"/>
      <c r="F92" s="274"/>
      <c r="G92" s="385" t="s">
        <v>1082</v>
      </c>
      <c r="H92" s="9" t="str">
        <f>+IF(I92=""," ",VLOOKUP(I92,Listas!$I$8:$J$10,2,FALSE))</f>
        <v>02</v>
      </c>
      <c r="I92" s="495" t="s">
        <v>464</v>
      </c>
      <c r="J92" s="356">
        <f>+IF(K92=""," ",VLOOKUP(K92,PUC!$B:$C,2,FALSE))</f>
        <v>6208020808</v>
      </c>
      <c r="K92" s="334" t="s">
        <v>861</v>
      </c>
      <c r="L92" s="11" t="str">
        <f>+IF(M92=""," ",VLOOKUP(M92,Listas!$F$9:$G$17,2,FALSE))</f>
        <v>02</v>
      </c>
      <c r="M92" s="475" t="s">
        <v>444</v>
      </c>
      <c r="N92" s="345">
        <f>+INGRESOS!G27*8000</f>
        <v>2152000</v>
      </c>
      <c r="O92" s="15"/>
      <c r="P92" s="16"/>
      <c r="Q92" s="16"/>
      <c r="R92" s="16"/>
      <c r="S92" s="16"/>
      <c r="T92" s="16"/>
      <c r="U92" s="16"/>
      <c r="V92" s="16"/>
      <c r="W92" s="16"/>
      <c r="X92" s="16"/>
      <c r="Y92" s="16"/>
      <c r="Z92" s="17"/>
    </row>
    <row r="93" spans="1:31" s="59" customFormat="1" ht="29.25" customHeight="1">
      <c r="A93" s="8"/>
      <c r="B93" s="11" t="str">
        <f>+IFERROR(VLOOKUP(C93,Listas!$L$8:$M$101,2,FALSE),"")</f>
        <v>10030102</v>
      </c>
      <c r="C93" s="334" t="s">
        <v>476</v>
      </c>
      <c r="D93" s="274"/>
      <c r="E93" s="275"/>
      <c r="F93" s="274"/>
      <c r="G93" s="385" t="s">
        <v>1083</v>
      </c>
      <c r="H93" s="9" t="str">
        <f>+IF(I93=""," ",VLOOKUP(I93,Listas!$I$8:$J$10,2,FALSE))</f>
        <v>02</v>
      </c>
      <c r="I93" s="495" t="s">
        <v>464</v>
      </c>
      <c r="J93" s="356">
        <f>+IF(K93=""," ",VLOOKUP(K93,PUC!$B:$C,2,FALSE))</f>
        <v>6208050306</v>
      </c>
      <c r="K93" s="334" t="s">
        <v>867</v>
      </c>
      <c r="L93" s="11" t="str">
        <f>+IF(M93=""," ",VLOOKUP(M93,Listas!$F$9:$G$17,2,FALSE))</f>
        <v>02</v>
      </c>
      <c r="M93" s="475" t="s">
        <v>444</v>
      </c>
      <c r="N93" s="345">
        <f t="shared" si="1"/>
        <v>4600000</v>
      </c>
      <c r="O93" s="15"/>
      <c r="P93" s="16"/>
      <c r="Q93" s="16"/>
      <c r="R93" s="16"/>
      <c r="S93" s="16"/>
      <c r="T93" s="16"/>
      <c r="U93" s="16"/>
      <c r="V93" s="16"/>
      <c r="W93" s="16"/>
      <c r="X93" s="16"/>
      <c r="Y93" s="16"/>
      <c r="Z93" s="17"/>
      <c r="AE93" s="345">
        <v>23000000</v>
      </c>
    </row>
    <row r="94" spans="1:31" s="59" customFormat="1" ht="29.25" customHeight="1">
      <c r="A94" s="8"/>
      <c r="B94" s="11" t="str">
        <f>+IFERROR(VLOOKUP(C94,Listas!$L$8:$M$101,2,FALSE),"")</f>
        <v>10030102</v>
      </c>
      <c r="C94" s="334" t="s">
        <v>476</v>
      </c>
      <c r="D94" s="274"/>
      <c r="E94" s="275"/>
      <c r="F94" s="274"/>
      <c r="G94" s="385"/>
      <c r="H94" s="9" t="str">
        <f>+IF(I94=""," ",VLOOKUP(I94,Listas!$I$8:$J$10,2,FALSE))</f>
        <v xml:space="preserve"> </v>
      </c>
      <c r="I94" s="495"/>
      <c r="J94" s="356" t="str">
        <f>+IF(K94=""," ",VLOOKUP(K94,PUC!$B:$C,2,FALSE))</f>
        <v xml:space="preserve"> </v>
      </c>
      <c r="K94" s="334"/>
      <c r="L94" s="11" t="str">
        <f>+IF(M94=""," ",VLOOKUP(M94,Listas!$F$9:$G$17,2,FALSE))</f>
        <v xml:space="preserve"> </v>
      </c>
      <c r="M94" s="475"/>
      <c r="N94" s="345">
        <f t="shared" si="1"/>
        <v>0</v>
      </c>
      <c r="O94" s="15"/>
      <c r="P94" s="16"/>
      <c r="Q94" s="16"/>
      <c r="R94" s="16"/>
      <c r="S94" s="16"/>
      <c r="T94" s="16"/>
      <c r="U94" s="16"/>
      <c r="V94" s="16"/>
      <c r="W94" s="16"/>
      <c r="X94" s="16"/>
      <c r="Y94" s="16"/>
      <c r="Z94" s="17"/>
      <c r="AE94" s="345"/>
    </row>
    <row r="95" spans="1:31" s="59" customFormat="1" ht="29.25" customHeight="1">
      <c r="A95" s="8"/>
      <c r="B95" s="11" t="str">
        <f>+IFERROR(VLOOKUP(C95,Listas!$L$8:$M$101,2,FALSE),"")</f>
        <v>10030102</v>
      </c>
      <c r="C95" s="334" t="s">
        <v>476</v>
      </c>
      <c r="D95" s="274"/>
      <c r="E95" s="275"/>
      <c r="F95" s="274"/>
      <c r="G95" s="385" t="s">
        <v>1337</v>
      </c>
      <c r="H95" s="9" t="str">
        <f>+IF(I95=""," ",VLOOKUP(I95,Listas!$I$8:$J$10,2,FALSE))</f>
        <v>02</v>
      </c>
      <c r="I95" s="495" t="s">
        <v>464</v>
      </c>
      <c r="J95" s="356">
        <f>+IF(K95=""," ",VLOOKUP(K95,PUC!$B:$C,2,FALSE))</f>
        <v>6208020501</v>
      </c>
      <c r="K95" s="334" t="s">
        <v>803</v>
      </c>
      <c r="L95" s="11" t="str">
        <f>+IF(M95=""," ",VLOOKUP(M95,Listas!$F$9:$G$17,2,FALSE))</f>
        <v>02</v>
      </c>
      <c r="M95" s="475" t="s">
        <v>444</v>
      </c>
      <c r="N95" s="345">
        <f t="shared" si="1"/>
        <v>400000</v>
      </c>
      <c r="O95" s="15"/>
      <c r="P95" s="16"/>
      <c r="Q95" s="16"/>
      <c r="R95" s="16"/>
      <c r="S95" s="16"/>
      <c r="T95" s="16"/>
      <c r="U95" s="16"/>
      <c r="V95" s="16"/>
      <c r="W95" s="16"/>
      <c r="X95" s="16"/>
      <c r="Y95" s="16"/>
      <c r="Z95" s="17"/>
      <c r="AE95" s="345">
        <v>2000000</v>
      </c>
    </row>
    <row r="96" spans="1:31" s="59" customFormat="1" ht="29.25" customHeight="1" thickBot="1">
      <c r="A96" s="8"/>
      <c r="B96" s="11" t="str">
        <f>+IFERROR(VLOOKUP(C96,Listas!$L$8:$M$101,2,FALSE),"")</f>
        <v>10030102</v>
      </c>
      <c r="C96" s="334" t="s">
        <v>476</v>
      </c>
      <c r="D96" s="274"/>
      <c r="E96" s="275"/>
      <c r="F96" s="274"/>
      <c r="G96" s="275"/>
      <c r="H96" s="9" t="str">
        <f>+IF(I96=""," ",VLOOKUP(I96,Listas!$I$8:$J$10,2,FALSE))</f>
        <v>02</v>
      </c>
      <c r="I96" s="495" t="s">
        <v>464</v>
      </c>
      <c r="J96" s="356">
        <f>+IF(K96=""," ",VLOOKUP(K96,PUC!$B:$C,2,FALSE))</f>
        <v>6208021401</v>
      </c>
      <c r="K96" s="334" t="s">
        <v>868</v>
      </c>
      <c r="L96" s="11" t="str">
        <f>+IF(M96=""," ",VLOOKUP(M96,Listas!$F$9:$G$17,2,FALSE))</f>
        <v>02</v>
      </c>
      <c r="M96" s="475" t="s">
        <v>444</v>
      </c>
      <c r="N96" s="345">
        <f t="shared" si="1"/>
        <v>0</v>
      </c>
      <c r="O96" s="15"/>
      <c r="P96" s="16"/>
      <c r="Q96" s="16"/>
      <c r="R96" s="16"/>
      <c r="S96" s="16"/>
      <c r="T96" s="16"/>
      <c r="U96" s="16"/>
      <c r="V96" s="16"/>
      <c r="W96" s="16"/>
      <c r="X96" s="16"/>
      <c r="Y96" s="16"/>
      <c r="Z96" s="17"/>
      <c r="AE96" s="345"/>
    </row>
    <row r="97" spans="1:31" s="59" customFormat="1" ht="29.25" hidden="1" customHeight="1">
      <c r="A97" s="8"/>
      <c r="B97" s="11" t="str">
        <f>+IFERROR(VLOOKUP(C97,Listas!$L$8:$M$101,2,FALSE),"")</f>
        <v>10030102</v>
      </c>
      <c r="C97" s="334" t="s">
        <v>476</v>
      </c>
      <c r="D97" s="274"/>
      <c r="E97" s="275"/>
      <c r="F97" s="274"/>
      <c r="G97" s="275"/>
      <c r="H97" s="9" t="str">
        <f>+IF(I97=""," ",VLOOKUP(I97,Listas!$I$8:$J$10,2,FALSE))</f>
        <v xml:space="preserve"> </v>
      </c>
      <c r="I97" s="495"/>
      <c r="J97" s="356" t="str">
        <f>+IF(K97=""," ",VLOOKUP(K97,PUC!$B:$C,2,FALSE))</f>
        <v xml:space="preserve"> </v>
      </c>
      <c r="K97" s="334"/>
      <c r="L97" s="11" t="str">
        <f>+IF(M97=""," ",VLOOKUP(M97,Listas!$F$9:$G$17,2,FALSE))</f>
        <v xml:space="preserve"> </v>
      </c>
      <c r="M97" s="475"/>
      <c r="N97" s="345">
        <f t="shared" si="1"/>
        <v>0</v>
      </c>
      <c r="O97" s="15"/>
      <c r="P97" s="16"/>
      <c r="Q97" s="16"/>
      <c r="R97" s="16"/>
      <c r="S97" s="16"/>
      <c r="T97" s="16"/>
      <c r="U97" s="16"/>
      <c r="V97" s="16"/>
      <c r="W97" s="16"/>
      <c r="X97" s="16"/>
      <c r="Y97" s="16"/>
      <c r="Z97" s="17"/>
      <c r="AE97" s="345"/>
    </row>
    <row r="98" spans="1:31" s="59" customFormat="1" ht="29.25" hidden="1" customHeight="1">
      <c r="A98" s="8"/>
      <c r="B98" s="11" t="str">
        <f>+IFERROR(VLOOKUP(C98,Listas!$L$8:$M$101,2,FALSE),"")</f>
        <v>10030102</v>
      </c>
      <c r="C98" s="334" t="s">
        <v>476</v>
      </c>
      <c r="D98" s="274"/>
      <c r="E98" s="275"/>
      <c r="F98" s="274"/>
      <c r="G98" s="275"/>
      <c r="H98" s="9" t="str">
        <f>+IF(I98=""," ",VLOOKUP(I98,Listas!$I$8:$J$10,2,FALSE))</f>
        <v xml:space="preserve"> </v>
      </c>
      <c r="I98" s="495"/>
      <c r="J98" s="356" t="str">
        <f>+IF(K98=""," ",VLOOKUP(K98,PUC!$B:$C,2,FALSE))</f>
        <v xml:space="preserve"> </v>
      </c>
      <c r="K98" s="334"/>
      <c r="L98" s="11" t="str">
        <f>+IF(M98=""," ",VLOOKUP(M98,Listas!$F$9:$G$17,2,FALSE))</f>
        <v xml:space="preserve"> </v>
      </c>
      <c r="M98" s="475"/>
      <c r="N98" s="345">
        <f t="shared" si="1"/>
        <v>0</v>
      </c>
      <c r="O98" s="15"/>
      <c r="P98" s="16"/>
      <c r="Q98" s="16"/>
      <c r="R98" s="16"/>
      <c r="S98" s="16"/>
      <c r="T98" s="16"/>
      <c r="U98" s="16"/>
      <c r="V98" s="16"/>
      <c r="W98" s="16"/>
      <c r="X98" s="16"/>
      <c r="Y98" s="16"/>
      <c r="Z98" s="17"/>
      <c r="AE98" s="345"/>
    </row>
    <row r="99" spans="1:31" s="59" customFormat="1" ht="29.25" hidden="1" customHeight="1">
      <c r="A99" s="8"/>
      <c r="B99" s="11" t="str">
        <f>+IFERROR(VLOOKUP(C99,Listas!$L$8:$M$101,2,FALSE),"")</f>
        <v>10030102</v>
      </c>
      <c r="C99" s="334" t="s">
        <v>476</v>
      </c>
      <c r="D99" s="274"/>
      <c r="E99" s="275"/>
      <c r="F99" s="274"/>
      <c r="G99" s="275"/>
      <c r="H99" s="9" t="str">
        <f>+IF(I99=""," ",VLOOKUP(I99,Listas!$I$8:$J$10,2,FALSE))</f>
        <v xml:space="preserve"> </v>
      </c>
      <c r="I99" s="495"/>
      <c r="J99" s="356" t="str">
        <f>+IF(K99=""," ",VLOOKUP(K99,PUC!$B:$C,2,FALSE))</f>
        <v xml:space="preserve"> </v>
      </c>
      <c r="K99" s="334"/>
      <c r="L99" s="11" t="str">
        <f>+IF(M99=""," ",VLOOKUP(M99,Listas!$F$9:$G$17,2,FALSE))</f>
        <v xml:space="preserve"> </v>
      </c>
      <c r="M99" s="475"/>
      <c r="N99" s="345">
        <f t="shared" si="1"/>
        <v>0</v>
      </c>
      <c r="O99" s="15"/>
      <c r="P99" s="16"/>
      <c r="Q99" s="16"/>
      <c r="R99" s="16"/>
      <c r="S99" s="16"/>
      <c r="T99" s="16"/>
      <c r="U99" s="16"/>
      <c r="V99" s="16"/>
      <c r="W99" s="16"/>
      <c r="X99" s="16"/>
      <c r="Y99" s="16"/>
      <c r="Z99" s="17"/>
      <c r="AE99" s="345"/>
    </row>
    <row r="100" spans="1:31" s="59" customFormat="1" ht="29.25" hidden="1" customHeight="1" thickBot="1">
      <c r="A100" s="8"/>
      <c r="B100" s="22" t="str">
        <f>+IFERROR(VLOOKUP(C100,Listas!$L$8:$M$101,2,FALSE),"")</f>
        <v>10030102</v>
      </c>
      <c r="C100" s="340" t="s">
        <v>476</v>
      </c>
      <c r="D100" s="278"/>
      <c r="E100" s="279"/>
      <c r="F100" s="278"/>
      <c r="G100" s="279"/>
      <c r="H100" s="21" t="str">
        <f>+IF(I100=""," ",VLOOKUP(I100,Listas!$I$8:$J$10,2,FALSE))</f>
        <v xml:space="preserve"> </v>
      </c>
      <c r="I100" s="496"/>
      <c r="J100" s="363" t="str">
        <f>+IF(K100=""," ",VLOOKUP(K100,PUC!$B:$C,2,FALSE))</f>
        <v xml:space="preserve"> </v>
      </c>
      <c r="K100" s="340"/>
      <c r="L100" s="22" t="str">
        <f>+IF(M100=""," ",VLOOKUP(M100,Listas!$F$9:$G$17,2,FALSE))</f>
        <v xml:space="preserve"> </v>
      </c>
      <c r="M100" s="476"/>
      <c r="N100" s="347">
        <f t="shared" si="1"/>
        <v>0</v>
      </c>
      <c r="O100" s="23"/>
      <c r="P100" s="24"/>
      <c r="Q100" s="24"/>
      <c r="R100" s="24"/>
      <c r="S100" s="24"/>
      <c r="T100" s="24"/>
      <c r="U100" s="24"/>
      <c r="V100" s="24"/>
      <c r="W100" s="24"/>
      <c r="X100" s="24"/>
      <c r="Y100" s="24"/>
      <c r="Z100" s="25"/>
      <c r="AE100" s="347"/>
    </row>
    <row r="101" spans="1:31" s="59" customFormat="1" ht="38.25">
      <c r="A101" s="8"/>
      <c r="B101" s="20" t="str">
        <f>+IFERROR(VLOOKUP(C101,Listas!$L$8:$M$101,2,FALSE),"")</f>
        <v>10040101</v>
      </c>
      <c r="C101" s="339" t="s">
        <v>477</v>
      </c>
      <c r="D101" s="276"/>
      <c r="E101" s="277"/>
      <c r="F101" s="636" t="s">
        <v>1084</v>
      </c>
      <c r="G101" s="386" t="s">
        <v>1085</v>
      </c>
      <c r="H101" s="18" t="str">
        <f>+IF(I101=""," ",VLOOKUP(I101,Listas!$I$8:$J$10,2,FALSE))</f>
        <v xml:space="preserve"> </v>
      </c>
      <c r="I101" s="497"/>
      <c r="J101" s="362" t="str">
        <f>+IF(K101=""," ",VLOOKUP(K101,PUC!$B:$C,2,FALSE))</f>
        <v xml:space="preserve"> </v>
      </c>
      <c r="K101" s="339"/>
      <c r="L101" s="20" t="str">
        <f>+IF(M101=""," ",VLOOKUP(M101,Listas!$F$9:$G$17,2,FALSE))</f>
        <v xml:space="preserve"> </v>
      </c>
      <c r="M101" s="477"/>
      <c r="N101" s="346">
        <f t="shared" si="1"/>
        <v>0</v>
      </c>
      <c r="O101" s="12"/>
      <c r="P101" s="13"/>
      <c r="Q101" s="13"/>
      <c r="R101" s="13"/>
      <c r="S101" s="13"/>
      <c r="T101" s="13"/>
      <c r="U101" s="13"/>
      <c r="V101" s="13"/>
      <c r="W101" s="13"/>
      <c r="X101" s="13"/>
      <c r="Y101" s="13"/>
      <c r="Z101" s="14"/>
      <c r="AE101" s="346"/>
    </row>
    <row r="102" spans="1:31" s="59" customFormat="1" ht="38.25">
      <c r="A102" s="8"/>
      <c r="B102" s="11" t="str">
        <f>+IFERROR(VLOOKUP(C102,Listas!$L$8:$M$101,2,FALSE),"")</f>
        <v>10040101</v>
      </c>
      <c r="C102" s="334" t="s">
        <v>477</v>
      </c>
      <c r="D102" s="274"/>
      <c r="E102" s="275"/>
      <c r="F102" s="635"/>
      <c r="G102" s="385" t="s">
        <v>1086</v>
      </c>
      <c r="H102" s="9" t="str">
        <f>+IF(I102=""," ",VLOOKUP(I102,Listas!$I$8:$J$10,2,FALSE))</f>
        <v xml:space="preserve"> </v>
      </c>
      <c r="I102" s="495"/>
      <c r="J102" s="356" t="str">
        <f>+IF(K102=""," ",VLOOKUP(K102,PUC!$B:$C,2,FALSE))</f>
        <v xml:space="preserve"> </v>
      </c>
      <c r="K102" s="334"/>
      <c r="L102" s="11" t="str">
        <f>+IF(M102=""," ",VLOOKUP(M102,Listas!$F$9:$G$17,2,FALSE))</f>
        <v xml:space="preserve"> </v>
      </c>
      <c r="M102" s="475"/>
      <c r="N102" s="345">
        <f t="shared" si="1"/>
        <v>0</v>
      </c>
      <c r="O102" s="15"/>
      <c r="P102" s="16"/>
      <c r="Q102" s="16"/>
      <c r="R102" s="16"/>
      <c r="S102" s="16"/>
      <c r="T102" s="16"/>
      <c r="U102" s="16"/>
      <c r="V102" s="16"/>
      <c r="W102" s="16"/>
      <c r="X102" s="16"/>
      <c r="Y102" s="16"/>
      <c r="Z102" s="17"/>
      <c r="AE102" s="345"/>
    </row>
    <row r="103" spans="1:31" s="59" customFormat="1" ht="25.5">
      <c r="A103" s="8"/>
      <c r="B103" s="11" t="str">
        <f>+IFERROR(VLOOKUP(C103,Listas!$L$8:$M$101,2,FALSE),"")</f>
        <v>10040101</v>
      </c>
      <c r="C103" s="334" t="s">
        <v>477</v>
      </c>
      <c r="D103" s="274"/>
      <c r="E103" s="275"/>
      <c r="F103" s="634" t="s">
        <v>1087</v>
      </c>
      <c r="G103" s="385" t="s">
        <v>1088</v>
      </c>
      <c r="H103" s="9" t="str">
        <f>+IF(I103=""," ",VLOOKUP(I103,Listas!$I$8:$J$10,2,FALSE))</f>
        <v xml:space="preserve"> </v>
      </c>
      <c r="I103" s="495"/>
      <c r="J103" s="356" t="str">
        <f>+IF(K103=""," ",VLOOKUP(K103,PUC!$B:$C,2,FALSE))</f>
        <v xml:space="preserve"> </v>
      </c>
      <c r="K103" s="334"/>
      <c r="L103" s="11" t="str">
        <f>+IF(M103=""," ",VLOOKUP(M103,Listas!$F$9:$G$17,2,FALSE))</f>
        <v xml:space="preserve"> </v>
      </c>
      <c r="M103" s="475"/>
      <c r="N103" s="345">
        <f t="shared" si="1"/>
        <v>0</v>
      </c>
      <c r="O103" s="15"/>
      <c r="P103" s="16"/>
      <c r="Q103" s="16"/>
      <c r="R103" s="16"/>
      <c r="S103" s="16"/>
      <c r="T103" s="16"/>
      <c r="U103" s="16"/>
      <c r="V103" s="16"/>
      <c r="W103" s="16"/>
      <c r="X103" s="16"/>
      <c r="Y103" s="16"/>
      <c r="Z103" s="17"/>
      <c r="AE103" s="345"/>
    </row>
    <row r="104" spans="1:31" s="59" customFormat="1" ht="25.5">
      <c r="A104" s="8"/>
      <c r="B104" s="11" t="str">
        <f>+IFERROR(VLOOKUP(C104,Listas!$L$8:$M$101,2,FALSE),"")</f>
        <v>10040101</v>
      </c>
      <c r="C104" s="334" t="s">
        <v>477</v>
      </c>
      <c r="D104" s="274"/>
      <c r="E104" s="275"/>
      <c r="F104" s="635"/>
      <c r="G104" s="385" t="s">
        <v>1089</v>
      </c>
      <c r="H104" s="9" t="str">
        <f>+IF(I104=""," ",VLOOKUP(I104,Listas!$I$8:$J$10,2,FALSE))</f>
        <v xml:space="preserve"> </v>
      </c>
      <c r="I104" s="495"/>
      <c r="J104" s="356" t="str">
        <f>+IF(K104=""," ",VLOOKUP(K104,PUC!$B:$C,2,FALSE))</f>
        <v xml:space="preserve"> </v>
      </c>
      <c r="K104" s="334"/>
      <c r="L104" s="11" t="str">
        <f>+IF(M104=""," ",VLOOKUP(M104,Listas!$F$9:$G$17,2,FALSE))</f>
        <v xml:space="preserve"> </v>
      </c>
      <c r="M104" s="475"/>
      <c r="N104" s="345">
        <f t="shared" si="1"/>
        <v>0</v>
      </c>
      <c r="O104" s="15"/>
      <c r="P104" s="16"/>
      <c r="Q104" s="16"/>
      <c r="R104" s="16"/>
      <c r="S104" s="16"/>
      <c r="T104" s="16"/>
      <c r="U104" s="16"/>
      <c r="V104" s="16"/>
      <c r="W104" s="16"/>
      <c r="X104" s="16"/>
      <c r="Y104" s="16"/>
      <c r="Z104" s="17"/>
      <c r="AE104" s="345"/>
    </row>
    <row r="105" spans="1:31" s="59" customFormat="1" ht="25.5">
      <c r="A105" s="8"/>
      <c r="B105" s="11" t="str">
        <f>+IFERROR(VLOOKUP(C105,Listas!$L$8:$M$101,2,FALSE),"")</f>
        <v>10040101</v>
      </c>
      <c r="C105" s="334" t="s">
        <v>477</v>
      </c>
      <c r="D105" s="274"/>
      <c r="E105" s="275"/>
      <c r="F105" s="634" t="s">
        <v>1090</v>
      </c>
      <c r="G105" s="385" t="s">
        <v>1091</v>
      </c>
      <c r="H105" s="9" t="str">
        <f>+IF(I105=""," ",VLOOKUP(I105,Listas!$I$8:$J$10,2,FALSE))</f>
        <v xml:space="preserve"> </v>
      </c>
      <c r="I105" s="495"/>
      <c r="J105" s="356" t="str">
        <f>+IF(K105=""," ",VLOOKUP(K105,PUC!$B:$C,2,FALSE))</f>
        <v xml:space="preserve"> </v>
      </c>
      <c r="K105" s="334"/>
      <c r="L105" s="11" t="str">
        <f>+IF(M105=""," ",VLOOKUP(M105,Listas!$F$9:$G$17,2,FALSE))</f>
        <v xml:space="preserve"> </v>
      </c>
      <c r="M105" s="475"/>
      <c r="N105" s="345">
        <f t="shared" si="1"/>
        <v>0</v>
      </c>
      <c r="O105" s="15"/>
      <c r="P105" s="16"/>
      <c r="Q105" s="16"/>
      <c r="R105" s="16"/>
      <c r="S105" s="16"/>
      <c r="T105" s="16"/>
      <c r="U105" s="16"/>
      <c r="V105" s="16"/>
      <c r="W105" s="16"/>
      <c r="X105" s="16"/>
      <c r="Y105" s="16"/>
      <c r="Z105" s="17"/>
      <c r="AE105" s="345"/>
    </row>
    <row r="106" spans="1:31" s="59" customFormat="1" ht="25.5">
      <c r="A106" s="8"/>
      <c r="B106" s="11" t="str">
        <f>+IFERROR(VLOOKUP(C106,Listas!$L$8:$M$101,2,FALSE),"")</f>
        <v>10040101</v>
      </c>
      <c r="C106" s="334" t="s">
        <v>477</v>
      </c>
      <c r="D106" s="274"/>
      <c r="E106" s="275"/>
      <c r="F106" s="635"/>
      <c r="G106" s="385" t="s">
        <v>1092</v>
      </c>
      <c r="H106" s="9" t="str">
        <f>+IF(I106=""," ",VLOOKUP(I106,Listas!$I$8:$J$10,2,FALSE))</f>
        <v xml:space="preserve"> </v>
      </c>
      <c r="I106" s="495"/>
      <c r="J106" s="356" t="str">
        <f>+IF(K106=""," ",VLOOKUP(K106,PUC!$B:$C,2,FALSE))</f>
        <v xml:space="preserve"> </v>
      </c>
      <c r="K106" s="334"/>
      <c r="L106" s="11" t="str">
        <f>+IF(M106=""," ",VLOOKUP(M106,Listas!$F$9:$G$17,2,FALSE))</f>
        <v xml:space="preserve"> </v>
      </c>
      <c r="M106" s="475"/>
      <c r="N106" s="345">
        <f t="shared" si="1"/>
        <v>0</v>
      </c>
      <c r="O106" s="15"/>
      <c r="P106" s="16"/>
      <c r="Q106" s="16"/>
      <c r="R106" s="16"/>
      <c r="S106" s="16"/>
      <c r="T106" s="16"/>
      <c r="U106" s="16"/>
      <c r="V106" s="16"/>
      <c r="W106" s="16"/>
      <c r="X106" s="16"/>
      <c r="Y106" s="16"/>
      <c r="Z106" s="17"/>
      <c r="AE106" s="345"/>
    </row>
    <row r="107" spans="1:31" s="59" customFormat="1" ht="25.5">
      <c r="A107" s="8"/>
      <c r="B107" s="11" t="str">
        <f>+IFERROR(VLOOKUP(C107,Listas!$L$8:$M$101,2,FALSE),"")</f>
        <v>10040101</v>
      </c>
      <c r="C107" s="334" t="s">
        <v>477</v>
      </c>
      <c r="D107" s="274"/>
      <c r="E107" s="275"/>
      <c r="F107" s="634" t="s">
        <v>1093</v>
      </c>
      <c r="G107" s="385" t="s">
        <v>1094</v>
      </c>
      <c r="H107" s="9" t="str">
        <f>+IF(I107=""," ",VLOOKUP(I107,Listas!$I$8:$J$10,2,FALSE))</f>
        <v xml:space="preserve"> </v>
      </c>
      <c r="I107" s="495"/>
      <c r="J107" s="356" t="str">
        <f>+IF(K107=""," ",VLOOKUP(K107,PUC!$B:$C,2,FALSE))</f>
        <v xml:space="preserve"> </v>
      </c>
      <c r="K107" s="334"/>
      <c r="L107" s="11" t="str">
        <f>+IF(M107=""," ",VLOOKUP(M107,Listas!$F$9:$G$17,2,FALSE))</f>
        <v xml:space="preserve"> </v>
      </c>
      <c r="M107" s="475"/>
      <c r="N107" s="345">
        <f t="shared" si="1"/>
        <v>0</v>
      </c>
      <c r="O107" s="15"/>
      <c r="P107" s="16"/>
      <c r="Q107" s="16"/>
      <c r="R107" s="16"/>
      <c r="S107" s="16"/>
      <c r="T107" s="16"/>
      <c r="U107" s="16"/>
      <c r="V107" s="16"/>
      <c r="W107" s="16"/>
      <c r="X107" s="16"/>
      <c r="Y107" s="16"/>
      <c r="Z107" s="17"/>
      <c r="AE107" s="345"/>
    </row>
    <row r="108" spans="1:31" s="59" customFormat="1" ht="25.5">
      <c r="A108" s="8"/>
      <c r="B108" s="11" t="str">
        <f>+IFERROR(VLOOKUP(C108,Listas!$L$8:$M$101,2,FALSE),"")</f>
        <v>10040101</v>
      </c>
      <c r="C108" s="334" t="s">
        <v>477</v>
      </c>
      <c r="D108" s="274"/>
      <c r="E108" s="275"/>
      <c r="F108" s="635"/>
      <c r="G108" s="385" t="s">
        <v>1095</v>
      </c>
      <c r="H108" s="9" t="str">
        <f>+IF(I108=""," ",VLOOKUP(I108,Listas!$I$8:$J$10,2,FALSE))</f>
        <v xml:space="preserve"> </v>
      </c>
      <c r="I108" s="495"/>
      <c r="J108" s="356" t="str">
        <f>+IF(K108=""," ",VLOOKUP(K108,PUC!$B:$C,2,FALSE))</f>
        <v xml:space="preserve"> </v>
      </c>
      <c r="K108" s="334"/>
      <c r="L108" s="11" t="str">
        <f>+IF(M108=""," ",VLOOKUP(M108,Listas!$F$9:$G$17,2,FALSE))</f>
        <v xml:space="preserve"> </v>
      </c>
      <c r="M108" s="475"/>
      <c r="N108" s="345">
        <f t="shared" si="1"/>
        <v>0</v>
      </c>
      <c r="O108" s="15"/>
      <c r="P108" s="16"/>
      <c r="Q108" s="16"/>
      <c r="R108" s="16"/>
      <c r="S108" s="16"/>
      <c r="T108" s="16"/>
      <c r="U108" s="16"/>
      <c r="V108" s="16"/>
      <c r="W108" s="16"/>
      <c r="X108" s="16"/>
      <c r="Y108" s="16"/>
      <c r="Z108" s="17"/>
      <c r="AE108" s="345"/>
    </row>
    <row r="109" spans="1:31" s="59" customFormat="1" ht="25.5">
      <c r="A109" s="8"/>
      <c r="B109" s="11" t="str">
        <f>+IFERROR(VLOOKUP(C109,Listas!$L$8:$M$101,2,FALSE),"")</f>
        <v>10040101</v>
      </c>
      <c r="C109" s="334" t="s">
        <v>477</v>
      </c>
      <c r="D109" s="274"/>
      <c r="E109" s="275"/>
      <c r="F109" s="634" t="s">
        <v>1096</v>
      </c>
      <c r="G109" s="385" t="s">
        <v>1097</v>
      </c>
      <c r="H109" s="9" t="str">
        <f>+IF(I109=""," ",VLOOKUP(I109,Listas!$I$8:$J$10,2,FALSE))</f>
        <v xml:space="preserve"> </v>
      </c>
      <c r="I109" s="495"/>
      <c r="J109" s="356" t="str">
        <f>+IF(K109=""," ",VLOOKUP(K109,PUC!$B:$C,2,FALSE))</f>
        <v xml:space="preserve"> </v>
      </c>
      <c r="K109" s="334"/>
      <c r="L109" s="11" t="str">
        <f>+IF(M109=""," ",VLOOKUP(M109,Listas!$F$9:$G$17,2,FALSE))</f>
        <v xml:space="preserve"> </v>
      </c>
      <c r="M109" s="475"/>
      <c r="N109" s="345">
        <f t="shared" si="1"/>
        <v>0</v>
      </c>
      <c r="O109" s="15"/>
      <c r="P109" s="16"/>
      <c r="Q109" s="16"/>
      <c r="R109" s="16"/>
      <c r="S109" s="16"/>
      <c r="T109" s="16"/>
      <c r="U109" s="16"/>
      <c r="V109" s="16"/>
      <c r="W109" s="16"/>
      <c r="X109" s="16"/>
      <c r="Y109" s="16"/>
      <c r="Z109" s="17"/>
      <c r="AE109" s="345"/>
    </row>
    <row r="110" spans="1:31" s="59" customFormat="1" ht="25.5">
      <c r="A110" s="8"/>
      <c r="B110" s="11" t="str">
        <f>+IFERROR(VLOOKUP(C110,Listas!$L$8:$M$101,2,FALSE),"")</f>
        <v>10040101</v>
      </c>
      <c r="C110" s="334" t="s">
        <v>477</v>
      </c>
      <c r="D110" s="274"/>
      <c r="E110" s="275"/>
      <c r="F110" s="635"/>
      <c r="G110" s="385" t="s">
        <v>1098</v>
      </c>
      <c r="H110" s="9" t="str">
        <f>+IF(I110=""," ",VLOOKUP(I110,Listas!$I$8:$J$10,2,FALSE))</f>
        <v xml:space="preserve"> </v>
      </c>
      <c r="I110" s="495"/>
      <c r="J110" s="356" t="str">
        <f>+IF(K110=""," ",VLOOKUP(K110,PUC!$B:$C,2,FALSE))</f>
        <v xml:space="preserve"> </v>
      </c>
      <c r="K110" s="334"/>
      <c r="L110" s="11" t="str">
        <f>+IF(M110=""," ",VLOOKUP(M110,Listas!$F$9:$G$17,2,FALSE))</f>
        <v xml:space="preserve"> </v>
      </c>
      <c r="M110" s="475"/>
      <c r="N110" s="345">
        <f t="shared" si="1"/>
        <v>0</v>
      </c>
      <c r="O110" s="15"/>
      <c r="P110" s="16"/>
      <c r="Q110" s="16"/>
      <c r="R110" s="16"/>
      <c r="S110" s="16"/>
      <c r="T110" s="16"/>
      <c r="U110" s="16"/>
      <c r="V110" s="16"/>
      <c r="W110" s="16"/>
      <c r="X110" s="16"/>
      <c r="Y110" s="16"/>
      <c r="Z110" s="17"/>
      <c r="AE110" s="345"/>
    </row>
    <row r="111" spans="1:31" s="59" customFormat="1" ht="25.5">
      <c r="A111" s="8"/>
      <c r="B111" s="11" t="str">
        <f>+IFERROR(VLOOKUP(C111,Listas!$L$8:$M$101,2,FALSE),"")</f>
        <v>10040101</v>
      </c>
      <c r="C111" s="334" t="s">
        <v>477</v>
      </c>
      <c r="D111" s="274"/>
      <c r="E111" s="275"/>
      <c r="F111" s="634" t="s">
        <v>1099</v>
      </c>
      <c r="G111" s="385" t="s">
        <v>1100</v>
      </c>
      <c r="H111" s="9" t="str">
        <f>+IF(I111=""," ",VLOOKUP(I111,Listas!$I$8:$J$10,2,FALSE))</f>
        <v xml:space="preserve"> </v>
      </c>
      <c r="I111" s="495"/>
      <c r="J111" s="356" t="str">
        <f>+IF(K111=""," ",VLOOKUP(K111,PUC!$B:$C,2,FALSE))</f>
        <v xml:space="preserve"> </v>
      </c>
      <c r="K111" s="334"/>
      <c r="L111" s="11" t="str">
        <f>+IF(M111=""," ",VLOOKUP(M111,Listas!$F$9:$G$17,2,FALSE))</f>
        <v xml:space="preserve"> </v>
      </c>
      <c r="M111" s="475"/>
      <c r="N111" s="345">
        <f t="shared" si="1"/>
        <v>0</v>
      </c>
      <c r="O111" s="15"/>
      <c r="P111" s="16"/>
      <c r="Q111" s="16"/>
      <c r="R111" s="16"/>
      <c r="S111" s="16"/>
      <c r="T111" s="16"/>
      <c r="U111" s="16"/>
      <c r="V111" s="16"/>
      <c r="W111" s="16"/>
      <c r="X111" s="16"/>
      <c r="Y111" s="16"/>
      <c r="Z111" s="17"/>
      <c r="AE111" s="345"/>
    </row>
    <row r="112" spans="1:31" s="59" customFormat="1" ht="25.5">
      <c r="A112" s="8"/>
      <c r="B112" s="11" t="str">
        <f>+IFERROR(VLOOKUP(C112,Listas!$L$8:$M$101,2,FALSE),"")</f>
        <v>10040101</v>
      </c>
      <c r="C112" s="334" t="s">
        <v>477</v>
      </c>
      <c r="D112" s="274"/>
      <c r="E112" s="275"/>
      <c r="F112" s="635"/>
      <c r="G112" s="385" t="s">
        <v>1101</v>
      </c>
      <c r="H112" s="9" t="str">
        <f>+IF(I112=""," ",VLOOKUP(I112,Listas!$I$8:$J$10,2,FALSE))</f>
        <v xml:space="preserve"> </v>
      </c>
      <c r="I112" s="495"/>
      <c r="J112" s="356" t="str">
        <f>+IF(K112=""," ",VLOOKUP(K112,PUC!$B:$C,2,FALSE))</f>
        <v xml:space="preserve"> </v>
      </c>
      <c r="K112" s="334"/>
      <c r="L112" s="11" t="str">
        <f>+IF(M112=""," ",VLOOKUP(M112,Listas!$F$9:$G$17,2,FALSE))</f>
        <v xml:space="preserve"> </v>
      </c>
      <c r="M112" s="475"/>
      <c r="N112" s="345">
        <f t="shared" si="1"/>
        <v>0</v>
      </c>
      <c r="O112" s="15"/>
      <c r="P112" s="16"/>
      <c r="Q112" s="16"/>
      <c r="R112" s="16"/>
      <c r="S112" s="16"/>
      <c r="T112" s="16"/>
      <c r="U112" s="16"/>
      <c r="V112" s="16"/>
      <c r="W112" s="16"/>
      <c r="X112" s="16"/>
      <c r="Y112" s="16"/>
      <c r="Z112" s="17"/>
      <c r="AE112" s="345"/>
    </row>
    <row r="113" spans="1:31" s="59" customFormat="1" ht="36" customHeight="1">
      <c r="A113" s="8"/>
      <c r="B113" s="11" t="str">
        <f>+IFERROR(VLOOKUP(C113,Listas!$L$8:$M$101,2,FALSE),"")</f>
        <v>10040101</v>
      </c>
      <c r="C113" s="334" t="s">
        <v>477</v>
      </c>
      <c r="D113" s="274"/>
      <c r="E113" s="275"/>
      <c r="F113" s="634" t="s">
        <v>1102</v>
      </c>
      <c r="G113" s="676" t="s">
        <v>1103</v>
      </c>
      <c r="H113" s="456" t="str">
        <f>+IF(I113=""," ",VLOOKUP(I113,Listas!$I$8:$J$10,2,FALSE))</f>
        <v>02</v>
      </c>
      <c r="I113" s="500" t="s">
        <v>464</v>
      </c>
      <c r="J113" s="458">
        <f>+IF(K113=""," ",VLOOKUP(K113,PUC!$B:$C,2,FALSE))</f>
        <v>6208020101</v>
      </c>
      <c r="K113" s="457" t="s">
        <v>795</v>
      </c>
      <c r="L113" s="459" t="str">
        <f>+IF(M113=""," ",VLOOKUP(M113,Listas!$F$9:$G$17,2,FALSE))</f>
        <v>02</v>
      </c>
      <c r="M113" s="480" t="s">
        <v>444</v>
      </c>
      <c r="N113" s="460">
        <f t="shared" si="1"/>
        <v>600000</v>
      </c>
      <c r="O113" s="15"/>
      <c r="P113" s="16"/>
      <c r="Q113" s="16"/>
      <c r="R113" s="16"/>
      <c r="S113" s="16"/>
      <c r="T113" s="16"/>
      <c r="U113" s="16"/>
      <c r="V113" s="16"/>
      <c r="W113" s="16"/>
      <c r="X113" s="16"/>
      <c r="Y113" s="16"/>
      <c r="Z113" s="17"/>
      <c r="AE113" s="460">
        <v>3000000</v>
      </c>
    </row>
    <row r="114" spans="1:31" s="59" customFormat="1" ht="25.5">
      <c r="A114" s="8"/>
      <c r="B114" s="11" t="str">
        <f>+IFERROR(VLOOKUP(C114,Listas!$L$8:$M$101,2,FALSE),"")</f>
        <v>10040101</v>
      </c>
      <c r="C114" s="334" t="s">
        <v>477</v>
      </c>
      <c r="D114" s="274"/>
      <c r="E114" s="275"/>
      <c r="F114" s="635"/>
      <c r="G114" s="677"/>
      <c r="H114" s="456" t="str">
        <f>+IF(I114=""," ",VLOOKUP(I114,Listas!$I$8:$J$10,2,FALSE))</f>
        <v>02</v>
      </c>
      <c r="I114" s="500" t="s">
        <v>464</v>
      </c>
      <c r="J114" s="458">
        <f>+IF(K114=""," ",VLOOKUP(K114,PUC!$B:$C,2,FALSE))</f>
        <v>6208020503</v>
      </c>
      <c r="K114" s="457" t="s">
        <v>805</v>
      </c>
      <c r="L114" s="459" t="str">
        <f>+IF(M114=""," ",VLOOKUP(M114,Listas!$F$9:$G$17,2,FALSE))</f>
        <v>02</v>
      </c>
      <c r="M114" s="480" t="s">
        <v>444</v>
      </c>
      <c r="N114" s="460">
        <f t="shared" si="1"/>
        <v>120000</v>
      </c>
      <c r="O114" s="15"/>
      <c r="P114" s="16"/>
      <c r="Q114" s="16"/>
      <c r="R114" s="16"/>
      <c r="S114" s="16"/>
      <c r="T114" s="16"/>
      <c r="U114" s="16"/>
      <c r="V114" s="16"/>
      <c r="W114" s="16"/>
      <c r="X114" s="16"/>
      <c r="Y114" s="16"/>
      <c r="Z114" s="17"/>
      <c r="AE114" s="460">
        <v>600000</v>
      </c>
    </row>
    <row r="115" spans="1:31" s="59" customFormat="1" ht="29.25" customHeight="1">
      <c r="A115" s="8"/>
      <c r="B115" s="11" t="str">
        <f>+IFERROR(VLOOKUP(C115,Listas!$L$8:$M$101,2,FALSE),"")</f>
        <v>10040101</v>
      </c>
      <c r="C115" s="334" t="s">
        <v>477</v>
      </c>
      <c r="D115" s="274"/>
      <c r="E115" s="275"/>
      <c r="F115" s="357"/>
      <c r="G115" s="678"/>
      <c r="H115" s="456" t="str">
        <f>+IF(I115=""," ",VLOOKUP(I115,Listas!$I$8:$J$10,2,FALSE))</f>
        <v>02</v>
      </c>
      <c r="I115" s="500" t="s">
        <v>464</v>
      </c>
      <c r="J115" s="458">
        <f>+IF(K115=""," ",VLOOKUP(K115,PUC!$B:$C,2,FALSE))</f>
        <v>6208022001</v>
      </c>
      <c r="K115" s="457" t="s">
        <v>801</v>
      </c>
      <c r="L115" s="459" t="str">
        <f>+IF(M115=""," ",VLOOKUP(M115,Listas!$F$9:$G$17,2,FALSE))</f>
        <v>02</v>
      </c>
      <c r="M115" s="480" t="s">
        <v>444</v>
      </c>
      <c r="N115" s="460">
        <f t="shared" si="1"/>
        <v>60000</v>
      </c>
      <c r="O115" s="15"/>
      <c r="P115" s="16"/>
      <c r="Q115" s="16"/>
      <c r="R115" s="16"/>
      <c r="S115" s="16"/>
      <c r="T115" s="16"/>
      <c r="U115" s="16"/>
      <c r="V115" s="16"/>
      <c r="W115" s="16"/>
      <c r="X115" s="16"/>
      <c r="Y115" s="16"/>
      <c r="Z115" s="17"/>
      <c r="AE115" s="460">
        <v>300000</v>
      </c>
    </row>
    <row r="116" spans="1:31" s="59" customFormat="1" ht="39" thickBot="1">
      <c r="A116" s="8"/>
      <c r="B116" s="11" t="str">
        <f>+IFERROR(VLOOKUP(C116,Listas!$L$8:$M$101,2,FALSE),"")</f>
        <v>10040101</v>
      </c>
      <c r="C116" s="334" t="s">
        <v>477</v>
      </c>
      <c r="D116" s="274"/>
      <c r="E116" s="275"/>
      <c r="F116" s="274"/>
      <c r="G116" s="385" t="s">
        <v>1104</v>
      </c>
      <c r="H116" s="9" t="str">
        <f>+IF(I116=""," ",VLOOKUP(I116,Listas!$I$8:$J$10,2,FALSE))</f>
        <v xml:space="preserve"> </v>
      </c>
      <c r="I116" s="495"/>
      <c r="J116" s="356" t="str">
        <f>+IF(K116=""," ",VLOOKUP(K116,PUC!$B:$C,2,FALSE))</f>
        <v xml:space="preserve"> </v>
      </c>
      <c r="K116" s="334"/>
      <c r="L116" s="11" t="str">
        <f>+IF(M116=""," ",VLOOKUP(M116,Listas!$F$9:$G$17,2,FALSE))</f>
        <v xml:space="preserve"> </v>
      </c>
      <c r="M116" s="475"/>
      <c r="N116" s="345">
        <f t="shared" si="1"/>
        <v>0</v>
      </c>
      <c r="O116" s="15"/>
      <c r="P116" s="16"/>
      <c r="Q116" s="16"/>
      <c r="R116" s="16"/>
      <c r="S116" s="16"/>
      <c r="T116" s="16"/>
      <c r="U116" s="16"/>
      <c r="V116" s="16"/>
      <c r="W116" s="16"/>
      <c r="X116" s="16"/>
      <c r="Y116" s="16"/>
      <c r="Z116" s="17"/>
      <c r="AE116" s="345"/>
    </row>
    <row r="117" spans="1:31" s="59" customFormat="1" ht="29.25" hidden="1" customHeight="1">
      <c r="A117" s="8"/>
      <c r="B117" s="11" t="str">
        <f>+IFERROR(VLOOKUP(C117,Listas!$L$8:$M$101,2,FALSE),"")</f>
        <v>10040101</v>
      </c>
      <c r="C117" s="334" t="s">
        <v>477</v>
      </c>
      <c r="D117" s="274"/>
      <c r="E117" s="275"/>
      <c r="F117" s="274"/>
      <c r="G117" s="275"/>
      <c r="H117" s="9" t="str">
        <f>+IF(I117=""," ",VLOOKUP(I117,Listas!$I$8:$J$10,2,FALSE))</f>
        <v xml:space="preserve"> </v>
      </c>
      <c r="I117" s="495"/>
      <c r="J117" s="356" t="str">
        <f>+IF(K117=""," ",VLOOKUP(K117,PUC!$B:$C,2,FALSE))</f>
        <v xml:space="preserve"> </v>
      </c>
      <c r="K117" s="334"/>
      <c r="L117" s="11" t="str">
        <f>+IF(M117=""," ",VLOOKUP(M117,Listas!$F$9:$G$17,2,FALSE))</f>
        <v xml:space="preserve"> </v>
      </c>
      <c r="M117" s="475"/>
      <c r="N117" s="345">
        <f t="shared" si="1"/>
        <v>0</v>
      </c>
      <c r="O117" s="15"/>
      <c r="P117" s="16"/>
      <c r="Q117" s="16"/>
      <c r="R117" s="16"/>
      <c r="S117" s="16"/>
      <c r="T117" s="16"/>
      <c r="U117" s="16"/>
      <c r="V117" s="16"/>
      <c r="W117" s="16"/>
      <c r="X117" s="16"/>
      <c r="Y117" s="16"/>
      <c r="Z117" s="17"/>
      <c r="AE117" s="345"/>
    </row>
    <row r="118" spans="1:31" s="59" customFormat="1" ht="29.25" hidden="1" customHeight="1">
      <c r="A118" s="8"/>
      <c r="B118" s="11" t="str">
        <f>+IFERROR(VLOOKUP(C118,Listas!$L$8:$M$101,2,FALSE),"")</f>
        <v>10040101</v>
      </c>
      <c r="C118" s="334" t="s">
        <v>477</v>
      </c>
      <c r="D118" s="274"/>
      <c r="E118" s="275"/>
      <c r="F118" s="274"/>
      <c r="G118" s="275"/>
      <c r="H118" s="9" t="str">
        <f>+IF(I118=""," ",VLOOKUP(I118,Listas!$I$8:$J$10,2,FALSE))</f>
        <v xml:space="preserve"> </v>
      </c>
      <c r="I118" s="495"/>
      <c r="J118" s="356" t="str">
        <f>+IF(K118=""," ",VLOOKUP(K118,PUC!$B:$C,2,FALSE))</f>
        <v xml:space="preserve"> </v>
      </c>
      <c r="K118" s="334"/>
      <c r="L118" s="11" t="str">
        <f>+IF(M118=""," ",VLOOKUP(M118,Listas!$F$9:$G$17,2,FALSE))</f>
        <v xml:space="preserve"> </v>
      </c>
      <c r="M118" s="475"/>
      <c r="N118" s="345">
        <f t="shared" si="1"/>
        <v>0</v>
      </c>
      <c r="O118" s="15"/>
      <c r="P118" s="16"/>
      <c r="Q118" s="16"/>
      <c r="R118" s="16"/>
      <c r="S118" s="16"/>
      <c r="T118" s="16"/>
      <c r="U118" s="16"/>
      <c r="V118" s="16"/>
      <c r="W118" s="16"/>
      <c r="X118" s="16"/>
      <c r="Y118" s="16"/>
      <c r="Z118" s="17"/>
      <c r="AE118" s="345"/>
    </row>
    <row r="119" spans="1:31" s="59" customFormat="1" ht="29.25" hidden="1" customHeight="1">
      <c r="A119" s="8"/>
      <c r="B119" s="11" t="str">
        <f>+IFERROR(VLOOKUP(C119,Listas!$L$8:$M$101,2,FALSE),"")</f>
        <v>10040101</v>
      </c>
      <c r="C119" s="334" t="s">
        <v>477</v>
      </c>
      <c r="D119" s="274"/>
      <c r="E119" s="275"/>
      <c r="F119" s="274"/>
      <c r="G119" s="275"/>
      <c r="H119" s="9" t="str">
        <f>+IF(I119=""," ",VLOOKUP(I119,Listas!$I$8:$J$10,2,FALSE))</f>
        <v xml:space="preserve"> </v>
      </c>
      <c r="I119" s="495"/>
      <c r="J119" s="356" t="str">
        <f>+IF(K119=""," ",VLOOKUP(K119,PUC!$B:$C,2,FALSE))</f>
        <v xml:space="preserve"> </v>
      </c>
      <c r="K119" s="334"/>
      <c r="L119" s="11" t="str">
        <f>+IF(M119=""," ",VLOOKUP(M119,Listas!$F$9:$G$17,2,FALSE))</f>
        <v xml:space="preserve"> </v>
      </c>
      <c r="M119" s="475"/>
      <c r="N119" s="345">
        <f t="shared" si="1"/>
        <v>0</v>
      </c>
      <c r="O119" s="15"/>
      <c r="P119" s="16"/>
      <c r="Q119" s="16"/>
      <c r="R119" s="16"/>
      <c r="S119" s="16"/>
      <c r="T119" s="16"/>
      <c r="U119" s="16"/>
      <c r="V119" s="16"/>
      <c r="W119" s="16"/>
      <c r="X119" s="16"/>
      <c r="Y119" s="16"/>
      <c r="Z119" s="17"/>
      <c r="AE119" s="345"/>
    </row>
    <row r="120" spans="1:31" s="59" customFormat="1" ht="29.25" hidden="1" customHeight="1">
      <c r="A120" s="8"/>
      <c r="B120" s="11" t="str">
        <f>+IFERROR(VLOOKUP(C120,Listas!$L$8:$M$101,2,FALSE),"")</f>
        <v>10040101</v>
      </c>
      <c r="C120" s="334" t="s">
        <v>477</v>
      </c>
      <c r="D120" s="274"/>
      <c r="E120" s="275"/>
      <c r="F120" s="274"/>
      <c r="G120" s="275"/>
      <c r="H120" s="9" t="str">
        <f>+IF(I120=""," ",VLOOKUP(I120,Listas!$I$8:$J$10,2,FALSE))</f>
        <v xml:space="preserve"> </v>
      </c>
      <c r="I120" s="495"/>
      <c r="J120" s="356" t="str">
        <f>+IF(K120=""," ",VLOOKUP(K120,PUC!$B:$C,2,FALSE))</f>
        <v xml:space="preserve"> </v>
      </c>
      <c r="K120" s="334"/>
      <c r="L120" s="11" t="str">
        <f>+IF(M120=""," ",VLOOKUP(M120,Listas!$F$9:$G$17,2,FALSE))</f>
        <v xml:space="preserve"> </v>
      </c>
      <c r="M120" s="475"/>
      <c r="N120" s="345">
        <f t="shared" si="1"/>
        <v>0</v>
      </c>
      <c r="O120" s="15"/>
      <c r="P120" s="16"/>
      <c r="Q120" s="16"/>
      <c r="R120" s="16"/>
      <c r="S120" s="16"/>
      <c r="T120" s="16"/>
      <c r="U120" s="16"/>
      <c r="V120" s="16"/>
      <c r="W120" s="16"/>
      <c r="X120" s="16"/>
      <c r="Y120" s="16"/>
      <c r="Z120" s="17"/>
      <c r="AE120" s="345"/>
    </row>
    <row r="121" spans="1:31" s="59" customFormat="1" ht="29.25" hidden="1" customHeight="1" thickBot="1">
      <c r="A121" s="8"/>
      <c r="B121" s="22" t="str">
        <f>+IFERROR(VLOOKUP(C121,Listas!$L$8:$M$101,2,FALSE),"")</f>
        <v>10040101</v>
      </c>
      <c r="C121" s="340" t="s">
        <v>477</v>
      </c>
      <c r="D121" s="278"/>
      <c r="E121" s="279"/>
      <c r="F121" s="278"/>
      <c r="G121" s="279"/>
      <c r="H121" s="21" t="str">
        <f>+IF(I121=""," ",VLOOKUP(I121,Listas!$I$8:$J$10,2,FALSE))</f>
        <v xml:space="preserve"> </v>
      </c>
      <c r="I121" s="496"/>
      <c r="J121" s="363" t="str">
        <f>+IF(K121=""," ",VLOOKUP(K121,PUC!$B:$C,2,FALSE))</f>
        <v xml:space="preserve"> </v>
      </c>
      <c r="K121" s="340"/>
      <c r="L121" s="22" t="str">
        <f>+IF(M121=""," ",VLOOKUP(M121,Listas!$F$9:$G$17,2,FALSE))</f>
        <v xml:space="preserve"> </v>
      </c>
      <c r="M121" s="476"/>
      <c r="N121" s="347">
        <f t="shared" si="1"/>
        <v>0</v>
      </c>
      <c r="O121" s="23"/>
      <c r="P121" s="24"/>
      <c r="Q121" s="24"/>
      <c r="R121" s="24"/>
      <c r="S121" s="24"/>
      <c r="T121" s="24"/>
      <c r="U121" s="24"/>
      <c r="V121" s="24"/>
      <c r="W121" s="24"/>
      <c r="X121" s="24"/>
      <c r="Y121" s="24"/>
      <c r="Z121" s="25"/>
      <c r="AE121" s="347"/>
    </row>
    <row r="122" spans="1:31" s="59" customFormat="1" ht="25.5">
      <c r="A122" s="8"/>
      <c r="B122" s="20" t="str">
        <f>+IFERROR(VLOOKUP(C122,Listas!$L$8:$M$101,2,FALSE),"")</f>
        <v>10040102</v>
      </c>
      <c r="C122" s="339" t="s">
        <v>478</v>
      </c>
      <c r="D122" s="276"/>
      <c r="E122" s="277"/>
      <c r="F122" s="636" t="s">
        <v>1105</v>
      </c>
      <c r="G122" s="386" t="s">
        <v>1106</v>
      </c>
      <c r="H122" s="18" t="str">
        <f>+IF(I122=""," ",VLOOKUP(I122,Listas!$I$8:$J$10,2,FALSE))</f>
        <v xml:space="preserve"> </v>
      </c>
      <c r="I122" s="497"/>
      <c r="J122" s="362" t="str">
        <f>+IF(K122=""," ",VLOOKUP(K122,PUC!$B:$C,2,FALSE))</f>
        <v xml:space="preserve"> </v>
      </c>
      <c r="K122" s="339"/>
      <c r="L122" s="20" t="str">
        <f>+IF(M122=""," ",VLOOKUP(M122,Listas!$F$9:$G$17,2,FALSE))</f>
        <v xml:space="preserve"> </v>
      </c>
      <c r="M122" s="477"/>
      <c r="N122" s="346">
        <f t="shared" si="1"/>
        <v>0</v>
      </c>
      <c r="O122" s="12"/>
      <c r="P122" s="13"/>
      <c r="Q122" s="13"/>
      <c r="R122" s="13"/>
      <c r="S122" s="13"/>
      <c r="T122" s="13"/>
      <c r="U122" s="13"/>
      <c r="V122" s="13"/>
      <c r="W122" s="13"/>
      <c r="X122" s="13"/>
      <c r="Y122" s="13"/>
      <c r="Z122" s="14"/>
      <c r="AE122" s="346"/>
    </row>
    <row r="123" spans="1:31" s="59" customFormat="1" ht="25.5">
      <c r="A123" s="8"/>
      <c r="B123" s="11" t="str">
        <f>+IFERROR(VLOOKUP(C123,Listas!$L$8:$M$101,2,FALSE),"")</f>
        <v>10040102</v>
      </c>
      <c r="C123" s="334" t="s">
        <v>478</v>
      </c>
      <c r="D123" s="274"/>
      <c r="E123" s="275"/>
      <c r="F123" s="637"/>
      <c r="G123" s="385" t="s">
        <v>1107</v>
      </c>
      <c r="H123" s="9" t="str">
        <f>+IF(I123=""," ",VLOOKUP(I123,Listas!$I$8:$J$10,2,FALSE))</f>
        <v xml:space="preserve"> </v>
      </c>
      <c r="I123" s="495"/>
      <c r="J123" s="356" t="str">
        <f>+IF(K123=""," ",VLOOKUP(K123,PUC!$B:$C,2,FALSE))</f>
        <v xml:space="preserve"> </v>
      </c>
      <c r="K123" s="334"/>
      <c r="L123" s="11" t="str">
        <f>+IF(M123=""," ",VLOOKUP(M123,Listas!$F$9:$G$17,2,FALSE))</f>
        <v xml:space="preserve"> </v>
      </c>
      <c r="M123" s="475"/>
      <c r="N123" s="345">
        <f t="shared" si="1"/>
        <v>0</v>
      </c>
      <c r="O123" s="15"/>
      <c r="P123" s="16"/>
      <c r="Q123" s="16"/>
      <c r="R123" s="16"/>
      <c r="S123" s="16"/>
      <c r="T123" s="16"/>
      <c r="U123" s="16"/>
      <c r="V123" s="16"/>
      <c r="W123" s="16"/>
      <c r="X123" s="16"/>
      <c r="Y123" s="16"/>
      <c r="Z123" s="17"/>
      <c r="AE123" s="345"/>
    </row>
    <row r="124" spans="1:31" s="59" customFormat="1" ht="25.5">
      <c r="A124" s="8"/>
      <c r="B124" s="11" t="str">
        <f>+IFERROR(VLOOKUP(C124,Listas!$L$8:$M$101,2,FALSE),"")</f>
        <v>10040102</v>
      </c>
      <c r="C124" s="334" t="s">
        <v>478</v>
      </c>
      <c r="D124" s="274"/>
      <c r="E124" s="275"/>
      <c r="F124" s="637"/>
      <c r="G124" s="385" t="s">
        <v>1108</v>
      </c>
      <c r="H124" s="9" t="str">
        <f>+IF(I124=""," ",VLOOKUP(I124,Listas!$I$8:$J$10,2,FALSE))</f>
        <v xml:space="preserve"> </v>
      </c>
      <c r="I124" s="495"/>
      <c r="J124" s="356" t="str">
        <f>+IF(K124=""," ",VLOOKUP(K124,PUC!$B:$C,2,FALSE))</f>
        <v xml:space="preserve"> </v>
      </c>
      <c r="K124" s="334"/>
      <c r="L124" s="11" t="str">
        <f>+IF(M124=""," ",VLOOKUP(M124,Listas!$F$9:$G$17,2,FALSE))</f>
        <v xml:space="preserve"> </v>
      </c>
      <c r="M124" s="475"/>
      <c r="N124" s="345">
        <f t="shared" si="1"/>
        <v>0</v>
      </c>
      <c r="O124" s="15"/>
      <c r="P124" s="16"/>
      <c r="Q124" s="16"/>
      <c r="R124" s="16"/>
      <c r="S124" s="16"/>
      <c r="T124" s="16"/>
      <c r="U124" s="16"/>
      <c r="V124" s="16"/>
      <c r="W124" s="16"/>
      <c r="X124" s="16"/>
      <c r="Y124" s="16"/>
      <c r="Z124" s="17"/>
      <c r="AE124" s="345"/>
    </row>
    <row r="125" spans="1:31" s="59" customFormat="1" ht="38.25">
      <c r="A125" s="8"/>
      <c r="B125" s="11" t="str">
        <f>+IFERROR(VLOOKUP(C125,Listas!$L$8:$M$101,2,FALSE),"")</f>
        <v>10040102</v>
      </c>
      <c r="C125" s="334" t="s">
        <v>478</v>
      </c>
      <c r="D125" s="274"/>
      <c r="E125" s="275"/>
      <c r="F125" s="635"/>
      <c r="G125" s="385" t="s">
        <v>1109</v>
      </c>
      <c r="H125" s="9" t="str">
        <f>+IF(I125=""," ",VLOOKUP(I125,Listas!$I$8:$J$10,2,FALSE))</f>
        <v xml:space="preserve"> </v>
      </c>
      <c r="I125" s="495"/>
      <c r="J125" s="356" t="str">
        <f>+IF(K125=""," ",VLOOKUP(K125,PUC!$B:$C,2,FALSE))</f>
        <v xml:space="preserve"> </v>
      </c>
      <c r="K125" s="334"/>
      <c r="L125" s="11" t="str">
        <f>+IF(M125=""," ",VLOOKUP(M125,Listas!$F$9:$G$17,2,FALSE))</f>
        <v xml:space="preserve"> </v>
      </c>
      <c r="M125" s="475"/>
      <c r="N125" s="345">
        <f t="shared" si="1"/>
        <v>0</v>
      </c>
      <c r="O125" s="15"/>
      <c r="P125" s="16"/>
      <c r="Q125" s="16"/>
      <c r="R125" s="16"/>
      <c r="S125" s="16"/>
      <c r="T125" s="16"/>
      <c r="U125" s="16"/>
      <c r="V125" s="16"/>
      <c r="W125" s="16"/>
      <c r="X125" s="16"/>
      <c r="Y125" s="16"/>
      <c r="Z125" s="17"/>
      <c r="AE125" s="345"/>
    </row>
    <row r="126" spans="1:31" s="59" customFormat="1" ht="25.5">
      <c r="A126" s="8"/>
      <c r="B126" s="11" t="str">
        <f>+IFERROR(VLOOKUP(C126,Listas!$L$8:$M$101,2,FALSE),"")</f>
        <v>10040102</v>
      </c>
      <c r="C126" s="334" t="s">
        <v>478</v>
      </c>
      <c r="D126" s="274"/>
      <c r="E126" s="275"/>
      <c r="F126" s="634" t="s">
        <v>1110</v>
      </c>
      <c r="G126" s="385" t="s">
        <v>1111</v>
      </c>
      <c r="H126" s="9" t="str">
        <f>+IF(I126=""," ",VLOOKUP(I126,Listas!$I$8:$J$10,2,FALSE))</f>
        <v>02</v>
      </c>
      <c r="I126" s="495" t="s">
        <v>464</v>
      </c>
      <c r="J126" s="356">
        <f>+IF(K126=""," ",VLOOKUP(K126,PUC!$B:$C,2,FALSE))</f>
        <v>6208020503</v>
      </c>
      <c r="K126" s="334" t="s">
        <v>805</v>
      </c>
      <c r="L126" s="11" t="str">
        <f>+IF(M126=""," ",VLOOKUP(M126,Listas!$F$9:$G$17,2,FALSE))</f>
        <v>02</v>
      </c>
      <c r="M126" s="475" t="s">
        <v>444</v>
      </c>
      <c r="N126" s="345">
        <f t="shared" si="1"/>
        <v>240000</v>
      </c>
      <c r="O126" s="15"/>
      <c r="P126" s="16"/>
      <c r="Q126" s="16"/>
      <c r="R126" s="16"/>
      <c r="S126" s="16"/>
      <c r="T126" s="16"/>
      <c r="U126" s="16"/>
      <c r="V126" s="16"/>
      <c r="W126" s="16"/>
      <c r="X126" s="16"/>
      <c r="Y126" s="16"/>
      <c r="Z126" s="17"/>
      <c r="AE126" s="345">
        <v>1200000</v>
      </c>
    </row>
    <row r="127" spans="1:31" s="59" customFormat="1" ht="25.5">
      <c r="A127" s="8"/>
      <c r="B127" s="11" t="str">
        <f>+IFERROR(VLOOKUP(C127,Listas!$L$8:$M$101,2,FALSE),"")</f>
        <v>10040102</v>
      </c>
      <c r="C127" s="334" t="s">
        <v>478</v>
      </c>
      <c r="D127" s="274"/>
      <c r="E127" s="275"/>
      <c r="F127" s="637"/>
      <c r="G127" s="385" t="s">
        <v>1117</v>
      </c>
      <c r="H127" s="9" t="str">
        <f>+IF(I127=""," ",VLOOKUP(I127,Listas!$I$8:$J$10,2,FALSE))</f>
        <v>02</v>
      </c>
      <c r="I127" s="495" t="s">
        <v>464</v>
      </c>
      <c r="J127" s="356">
        <f>+IF(K127=""," ",VLOOKUP(K127,PUC!$B:$C,2,FALSE))</f>
        <v>6208020501</v>
      </c>
      <c r="K127" s="334" t="s">
        <v>803</v>
      </c>
      <c r="L127" s="11" t="str">
        <f>+IF(M127=""," ",VLOOKUP(M127,Listas!$F$9:$G$17,2,FALSE))</f>
        <v>02</v>
      </c>
      <c r="M127" s="475" t="s">
        <v>444</v>
      </c>
      <c r="N127" s="345">
        <f t="shared" si="1"/>
        <v>726000</v>
      </c>
      <c r="O127" s="15"/>
      <c r="P127" s="16"/>
      <c r="Q127" s="16"/>
      <c r="R127" s="16"/>
      <c r="S127" s="16"/>
      <c r="T127" s="16"/>
      <c r="U127" s="16"/>
      <c r="V127" s="16"/>
      <c r="W127" s="16"/>
      <c r="X127" s="16"/>
      <c r="Y127" s="16"/>
      <c r="Z127" s="17"/>
      <c r="AE127" s="345">
        <f>+MROUND(576000*3*2*1.05,1000)</f>
        <v>3629000</v>
      </c>
    </row>
    <row r="128" spans="1:31" s="59" customFormat="1" ht="25.5">
      <c r="A128" s="8"/>
      <c r="B128" s="11" t="str">
        <f>+IFERROR(VLOOKUP(C128,Listas!$L$8:$M$101,2,FALSE),"")</f>
        <v>10040102</v>
      </c>
      <c r="C128" s="334" t="s">
        <v>478</v>
      </c>
      <c r="D128" s="274"/>
      <c r="E128" s="275"/>
      <c r="F128" s="635"/>
      <c r="G128" s="385" t="s">
        <v>1117</v>
      </c>
      <c r="H128" s="9" t="str">
        <f>+IF(I128=""," ",VLOOKUP(I128,Listas!$I$8:$J$10,2,FALSE))</f>
        <v>02</v>
      </c>
      <c r="I128" s="495" t="s">
        <v>464</v>
      </c>
      <c r="J128" s="356">
        <f>+IF(K128=""," ",VLOOKUP(K128,PUC!$B:$C,2,FALSE))</f>
        <v>6208020505</v>
      </c>
      <c r="K128" s="334" t="s">
        <v>804</v>
      </c>
      <c r="L128" s="11" t="str">
        <f>+IF(M128=""," ",VLOOKUP(M128,Listas!$F$9:$G$17,2,FALSE))</f>
        <v>02</v>
      </c>
      <c r="M128" s="475" t="s">
        <v>444</v>
      </c>
      <c r="N128" s="345">
        <f t="shared" si="1"/>
        <v>0</v>
      </c>
      <c r="O128" s="15"/>
      <c r="P128" s="16"/>
      <c r="Q128" s="16"/>
      <c r="R128" s="16"/>
      <c r="S128" s="16"/>
      <c r="T128" s="16"/>
      <c r="U128" s="16"/>
      <c r="V128" s="16"/>
      <c r="W128" s="16"/>
      <c r="X128" s="16"/>
      <c r="Y128" s="16"/>
      <c r="Z128" s="17"/>
      <c r="AE128" s="345"/>
    </row>
    <row r="129" spans="1:31" s="59" customFormat="1" ht="38.25">
      <c r="A129" s="8"/>
      <c r="B129" s="11" t="str">
        <f>+IFERROR(VLOOKUP(C129,Listas!$L$8:$M$101,2,FALSE),"")</f>
        <v>10040102</v>
      </c>
      <c r="C129" s="334" t="s">
        <v>478</v>
      </c>
      <c r="D129" s="274"/>
      <c r="E129" s="275"/>
      <c r="F129" s="357" t="s">
        <v>1112</v>
      </c>
      <c r="G129" s="385" t="s">
        <v>1113</v>
      </c>
      <c r="H129" s="9" t="str">
        <f>+IF(I129=""," ",VLOOKUP(I129,Listas!$I$8:$J$10,2,FALSE))</f>
        <v xml:space="preserve"> </v>
      </c>
      <c r="I129" s="495"/>
      <c r="J129" s="356" t="str">
        <f>+IF(K129=""," ",VLOOKUP(K129,PUC!$B:$C,2,FALSE))</f>
        <v xml:space="preserve"> </v>
      </c>
      <c r="K129" s="334"/>
      <c r="L129" s="11" t="str">
        <f>+IF(M129=""," ",VLOOKUP(M129,Listas!$F$9:$G$17,2,FALSE))</f>
        <v xml:space="preserve"> </v>
      </c>
      <c r="M129" s="475"/>
      <c r="N129" s="345">
        <f t="shared" si="1"/>
        <v>0</v>
      </c>
      <c r="O129" s="15"/>
      <c r="P129" s="16"/>
      <c r="Q129" s="16"/>
      <c r="R129" s="16"/>
      <c r="S129" s="16"/>
      <c r="T129" s="16"/>
      <c r="U129" s="16"/>
      <c r="V129" s="16"/>
      <c r="W129" s="16"/>
      <c r="X129" s="16"/>
      <c r="Y129" s="16"/>
      <c r="Z129" s="17"/>
      <c r="AE129" s="345"/>
    </row>
    <row r="130" spans="1:31" s="59" customFormat="1" ht="39" customHeight="1">
      <c r="A130" s="8"/>
      <c r="B130" s="11" t="str">
        <f>+IFERROR(VLOOKUP(C130,Listas!$L$8:$M$101,2,FALSE),"")</f>
        <v>10040102</v>
      </c>
      <c r="C130" s="334" t="s">
        <v>478</v>
      </c>
      <c r="D130" s="274"/>
      <c r="E130" s="275"/>
      <c r="F130" s="634" t="s">
        <v>1114</v>
      </c>
      <c r="G130" s="385" t="s">
        <v>1115</v>
      </c>
      <c r="H130" s="9" t="str">
        <f>+IF(I130=""," ",VLOOKUP(I130,Listas!$I$8:$J$10,2,FALSE))</f>
        <v xml:space="preserve"> </v>
      </c>
      <c r="I130" s="495"/>
      <c r="J130" s="356" t="str">
        <f>+IF(K130=""," ",VLOOKUP(K130,PUC!$B:$C,2,FALSE))</f>
        <v xml:space="preserve"> </v>
      </c>
      <c r="K130" s="334"/>
      <c r="L130" s="11" t="str">
        <f>+IF(M130=""," ",VLOOKUP(M130,Listas!$F$9:$G$17,2,FALSE))</f>
        <v xml:space="preserve"> </v>
      </c>
      <c r="M130" s="475"/>
      <c r="N130" s="345">
        <f t="shared" si="1"/>
        <v>0</v>
      </c>
      <c r="O130" s="15"/>
      <c r="P130" s="16"/>
      <c r="Q130" s="16"/>
      <c r="R130" s="16"/>
      <c r="S130" s="16"/>
      <c r="T130" s="16"/>
      <c r="U130" s="16"/>
      <c r="V130" s="16"/>
      <c r="W130" s="16"/>
      <c r="X130" s="16"/>
      <c r="Y130" s="16"/>
      <c r="Z130" s="17"/>
      <c r="AE130" s="345"/>
    </row>
    <row r="131" spans="1:31" s="59" customFormat="1" ht="33.75" customHeight="1" thickBot="1">
      <c r="A131" s="8"/>
      <c r="B131" s="11" t="str">
        <f>+IFERROR(VLOOKUP(C131,Listas!$L$8:$M$101,2,FALSE),"")</f>
        <v>10040102</v>
      </c>
      <c r="C131" s="334" t="s">
        <v>478</v>
      </c>
      <c r="D131" s="274"/>
      <c r="E131" s="275"/>
      <c r="F131" s="635"/>
      <c r="G131" s="385" t="s">
        <v>1116</v>
      </c>
      <c r="H131" s="9" t="str">
        <f>+IF(I131=""," ",VLOOKUP(I131,Listas!$I$8:$J$10,2,FALSE))</f>
        <v xml:space="preserve"> </v>
      </c>
      <c r="I131" s="495"/>
      <c r="J131" s="356" t="str">
        <f>+IF(K131=""," ",VLOOKUP(K131,PUC!$B:$C,2,FALSE))</f>
        <v xml:space="preserve"> </v>
      </c>
      <c r="K131" s="334"/>
      <c r="L131" s="11" t="str">
        <f>+IF(M131=""," ",VLOOKUP(M131,Listas!$F$9:$G$17,2,FALSE))</f>
        <v xml:space="preserve"> </v>
      </c>
      <c r="M131" s="475"/>
      <c r="N131" s="345">
        <f t="shared" si="1"/>
        <v>0</v>
      </c>
      <c r="O131" s="15"/>
      <c r="P131" s="16"/>
      <c r="Q131" s="16"/>
      <c r="R131" s="16"/>
      <c r="S131" s="16"/>
      <c r="T131" s="16"/>
      <c r="U131" s="16"/>
      <c r="V131" s="16"/>
      <c r="W131" s="16"/>
      <c r="X131" s="16"/>
      <c r="Y131" s="16"/>
      <c r="Z131" s="17"/>
      <c r="AE131" s="345"/>
    </row>
    <row r="132" spans="1:31" s="59" customFormat="1" ht="29.25" hidden="1" customHeight="1" thickBot="1">
      <c r="A132" s="8"/>
      <c r="B132" s="11" t="str">
        <f>+IFERROR(VLOOKUP(C132,Listas!$L$8:$M$101,2,FALSE),"")</f>
        <v>10040102</v>
      </c>
      <c r="C132" s="334" t="s">
        <v>478</v>
      </c>
      <c r="D132" s="274"/>
      <c r="E132" s="275"/>
      <c r="F132" s="301"/>
      <c r="G132" s="358"/>
      <c r="H132" s="9" t="str">
        <f>+IF(I132=""," ",VLOOKUP(I132,Listas!$I$8:$J$10,2,FALSE))</f>
        <v xml:space="preserve"> </v>
      </c>
      <c r="I132" s="495"/>
      <c r="J132" s="356" t="str">
        <f>+IF(K132=""," ",VLOOKUP(K132,PUC!$B:$C,2,FALSE))</f>
        <v xml:space="preserve"> </v>
      </c>
      <c r="K132" s="334"/>
      <c r="L132" s="11" t="str">
        <f>+IF(M132=""," ",VLOOKUP(M132,Listas!$F$9:$G$17,2,FALSE))</f>
        <v xml:space="preserve"> </v>
      </c>
      <c r="M132" s="475"/>
      <c r="N132" s="345">
        <f t="shared" si="1"/>
        <v>0</v>
      </c>
      <c r="O132" s="15"/>
      <c r="P132" s="16"/>
      <c r="Q132" s="16"/>
      <c r="R132" s="16"/>
      <c r="S132" s="16"/>
      <c r="T132" s="16"/>
      <c r="U132" s="16"/>
      <c r="V132" s="16"/>
      <c r="W132" s="16"/>
      <c r="X132" s="16"/>
      <c r="Y132" s="16"/>
      <c r="Z132" s="17"/>
      <c r="AE132" s="345"/>
    </row>
    <row r="133" spans="1:31" s="59" customFormat="1" ht="29.25" hidden="1" customHeight="1">
      <c r="A133" s="8"/>
      <c r="B133" s="11" t="str">
        <f>+IFERROR(VLOOKUP(C133,Listas!$L$8:$M$101,2,FALSE),"")</f>
        <v>10040102</v>
      </c>
      <c r="C133" s="334" t="s">
        <v>478</v>
      </c>
      <c r="D133" s="274"/>
      <c r="E133" s="275"/>
      <c r="F133" s="301"/>
      <c r="G133" s="358"/>
      <c r="H133" s="9" t="str">
        <f>+IF(I133=""," ",VLOOKUP(I133,Listas!$I$8:$J$10,2,FALSE))</f>
        <v xml:space="preserve"> </v>
      </c>
      <c r="I133" s="495"/>
      <c r="J133" s="356" t="str">
        <f>+IF(K133=""," ",VLOOKUP(K133,PUC!$B:$C,2,FALSE))</f>
        <v xml:space="preserve"> </v>
      </c>
      <c r="K133" s="334"/>
      <c r="L133" s="11" t="str">
        <f>+IF(M133=""," ",VLOOKUP(M133,Listas!$F$9:$G$17,2,FALSE))</f>
        <v xml:space="preserve"> </v>
      </c>
      <c r="M133" s="475"/>
      <c r="N133" s="345">
        <f t="shared" si="1"/>
        <v>0</v>
      </c>
      <c r="O133" s="15"/>
      <c r="P133" s="16"/>
      <c r="Q133" s="16"/>
      <c r="R133" s="16"/>
      <c r="S133" s="16"/>
      <c r="T133" s="16"/>
      <c r="U133" s="16"/>
      <c r="V133" s="16"/>
      <c r="W133" s="16"/>
      <c r="X133" s="16"/>
      <c r="Y133" s="16"/>
      <c r="Z133" s="17"/>
      <c r="AE133" s="345"/>
    </row>
    <row r="134" spans="1:31" s="59" customFormat="1" ht="29.25" hidden="1" customHeight="1">
      <c r="A134" s="8"/>
      <c r="B134" s="11" t="str">
        <f>+IFERROR(VLOOKUP(C134,Listas!$L$8:$M$101,2,FALSE),"")</f>
        <v>10040102</v>
      </c>
      <c r="C134" s="334" t="s">
        <v>478</v>
      </c>
      <c r="D134" s="274"/>
      <c r="E134" s="275"/>
      <c r="F134" s="274"/>
      <c r="G134" s="275"/>
      <c r="H134" s="9" t="str">
        <f>+IF(I134=""," ",VLOOKUP(I134,Listas!$I$8:$J$10,2,FALSE))</f>
        <v xml:space="preserve"> </v>
      </c>
      <c r="I134" s="495"/>
      <c r="J134" s="356" t="str">
        <f>+IF(K134=""," ",VLOOKUP(K134,PUC!$B:$C,2,FALSE))</f>
        <v xml:space="preserve"> </v>
      </c>
      <c r="K134" s="334"/>
      <c r="L134" s="11" t="str">
        <f>+IF(M134=""," ",VLOOKUP(M134,Listas!$F$9:$G$17,2,FALSE))</f>
        <v xml:space="preserve"> </v>
      </c>
      <c r="M134" s="475"/>
      <c r="N134" s="345">
        <f t="shared" si="1"/>
        <v>0</v>
      </c>
      <c r="O134" s="15"/>
      <c r="P134" s="16"/>
      <c r="Q134" s="16"/>
      <c r="R134" s="16"/>
      <c r="S134" s="16"/>
      <c r="T134" s="16"/>
      <c r="U134" s="16"/>
      <c r="V134" s="16"/>
      <c r="W134" s="16"/>
      <c r="X134" s="16"/>
      <c r="Y134" s="16"/>
      <c r="Z134" s="17"/>
      <c r="AE134" s="345"/>
    </row>
    <row r="135" spans="1:31" s="59" customFormat="1" ht="29.25" hidden="1" customHeight="1">
      <c r="A135" s="8"/>
      <c r="B135" s="11" t="str">
        <f>+IFERROR(VLOOKUP(C135,Listas!$L$8:$M$101,2,FALSE),"")</f>
        <v>10040102</v>
      </c>
      <c r="C135" s="334" t="s">
        <v>478</v>
      </c>
      <c r="D135" s="274"/>
      <c r="E135" s="275"/>
      <c r="F135" s="274"/>
      <c r="G135" s="275"/>
      <c r="H135" s="9" t="str">
        <f>+IF(I135=""," ",VLOOKUP(I135,Listas!$I$8:$J$10,2,FALSE))</f>
        <v xml:space="preserve"> </v>
      </c>
      <c r="I135" s="495"/>
      <c r="J135" s="356" t="str">
        <f>+IF(K135=""," ",VLOOKUP(K135,PUC!$B:$C,2,FALSE))</f>
        <v xml:space="preserve"> </v>
      </c>
      <c r="K135" s="334"/>
      <c r="L135" s="11" t="str">
        <f>+IF(M135=""," ",VLOOKUP(M135,Listas!$F$9:$G$17,2,FALSE))</f>
        <v xml:space="preserve"> </v>
      </c>
      <c r="M135" s="475"/>
      <c r="N135" s="345">
        <f t="shared" si="1"/>
        <v>0</v>
      </c>
      <c r="O135" s="15"/>
      <c r="P135" s="16"/>
      <c r="Q135" s="16"/>
      <c r="R135" s="16"/>
      <c r="S135" s="16"/>
      <c r="T135" s="16"/>
      <c r="U135" s="16"/>
      <c r="V135" s="16"/>
      <c r="W135" s="16"/>
      <c r="X135" s="16"/>
      <c r="Y135" s="16"/>
      <c r="Z135" s="17"/>
      <c r="AE135" s="345"/>
    </row>
    <row r="136" spans="1:31" s="59" customFormat="1" ht="29.25" hidden="1" customHeight="1" thickBot="1">
      <c r="A136" s="8"/>
      <c r="B136" s="22" t="str">
        <f>+IFERROR(VLOOKUP(C136,Listas!$L$8:$M$101,2,FALSE),"")</f>
        <v>10040102</v>
      </c>
      <c r="C136" s="340" t="s">
        <v>478</v>
      </c>
      <c r="D136" s="278"/>
      <c r="E136" s="279"/>
      <c r="F136" s="278"/>
      <c r="G136" s="279"/>
      <c r="H136" s="21" t="str">
        <f>+IF(I136=""," ",VLOOKUP(I136,Listas!$I$8:$J$10,2,FALSE))</f>
        <v xml:space="preserve"> </v>
      </c>
      <c r="I136" s="496"/>
      <c r="J136" s="363" t="str">
        <f>+IF(K136=""," ",VLOOKUP(K136,PUC!$B:$C,2,FALSE))</f>
        <v xml:space="preserve"> </v>
      </c>
      <c r="K136" s="340"/>
      <c r="L136" s="22" t="str">
        <f>+IF(M136=""," ",VLOOKUP(M136,Listas!$F$9:$G$17,2,FALSE))</f>
        <v xml:space="preserve"> </v>
      </c>
      <c r="M136" s="476"/>
      <c r="N136" s="347">
        <f t="shared" si="1"/>
        <v>0</v>
      </c>
      <c r="O136" s="23"/>
      <c r="P136" s="24"/>
      <c r="Q136" s="24"/>
      <c r="R136" s="24"/>
      <c r="S136" s="24"/>
      <c r="T136" s="24"/>
      <c r="U136" s="24"/>
      <c r="V136" s="24"/>
      <c r="W136" s="24"/>
      <c r="X136" s="24"/>
      <c r="Y136" s="24"/>
      <c r="Z136" s="25"/>
      <c r="AE136" s="347"/>
    </row>
    <row r="137" spans="1:31" s="59" customFormat="1" ht="38.25">
      <c r="A137" s="8"/>
      <c r="B137" s="20" t="str">
        <f>+IFERROR(VLOOKUP(C137,Listas!$L$8:$M$101,2,FALSE),"")</f>
        <v>10040104</v>
      </c>
      <c r="C137" s="339" t="s">
        <v>481</v>
      </c>
      <c r="D137" s="276"/>
      <c r="E137" s="277"/>
      <c r="F137" s="636" t="s">
        <v>1118</v>
      </c>
      <c r="G137" s="386" t="s">
        <v>1125</v>
      </c>
      <c r="H137" s="18" t="str">
        <f>+IF(I137=""," ",VLOOKUP(I137,Listas!$I$8:$J$10,2,FALSE))</f>
        <v>04</v>
      </c>
      <c r="I137" s="497" t="s">
        <v>466</v>
      </c>
      <c r="J137" s="362" t="str">
        <f>+IF(K137=""," ",VLOOKUP(K137,PUC!$B:$C,2,FALSE))</f>
        <v xml:space="preserve"> </v>
      </c>
      <c r="K137" s="339"/>
      <c r="L137" s="20" t="str">
        <f>+IF(M137=""," ",VLOOKUP(M137,Listas!$F$9:$G$17,2,FALSE))</f>
        <v>02</v>
      </c>
      <c r="M137" s="477" t="s">
        <v>444</v>
      </c>
      <c r="N137" s="346">
        <f t="shared" si="1"/>
        <v>0</v>
      </c>
      <c r="O137" s="12"/>
      <c r="P137" s="13"/>
      <c r="Q137" s="13"/>
      <c r="R137" s="13"/>
      <c r="S137" s="13"/>
      <c r="T137" s="13"/>
      <c r="U137" s="13"/>
      <c r="V137" s="13"/>
      <c r="W137" s="13"/>
      <c r="X137" s="13"/>
      <c r="Y137" s="13"/>
      <c r="Z137" s="14"/>
      <c r="AE137" s="346"/>
    </row>
    <row r="138" spans="1:31" s="59" customFormat="1" ht="38.25">
      <c r="A138" s="8"/>
      <c r="B138" s="11" t="str">
        <f>+IFERROR(VLOOKUP(C138,Listas!$L$8:$M$101,2,FALSE),"")</f>
        <v>10040104</v>
      </c>
      <c r="C138" s="334" t="s">
        <v>481</v>
      </c>
      <c r="D138" s="274"/>
      <c r="E138" s="275"/>
      <c r="F138" s="637"/>
      <c r="G138" s="385" t="s">
        <v>1339</v>
      </c>
      <c r="H138" s="9" t="str">
        <f>+IF(I138=""," ",VLOOKUP(I138,Listas!$I$8:$J$10,2,FALSE))</f>
        <v>04</v>
      </c>
      <c r="I138" s="495" t="s">
        <v>466</v>
      </c>
      <c r="J138" s="356" t="str">
        <f>+IF(K138=""," ",VLOOKUP(K138,PUC!$B:$C,2,FALSE))</f>
        <v xml:space="preserve"> </v>
      </c>
      <c r="K138" s="334"/>
      <c r="L138" s="11" t="str">
        <f>+IF(M138=""," ",VLOOKUP(M138,Listas!$F$9:$G$17,2,FALSE))</f>
        <v>02</v>
      </c>
      <c r="M138" s="475" t="s">
        <v>444</v>
      </c>
      <c r="N138" s="345">
        <f t="shared" si="1"/>
        <v>0</v>
      </c>
      <c r="O138" s="15"/>
      <c r="P138" s="16"/>
      <c r="Q138" s="16"/>
      <c r="R138" s="16"/>
      <c r="S138" s="16"/>
      <c r="T138" s="16"/>
      <c r="U138" s="16"/>
      <c r="V138" s="16"/>
      <c r="W138" s="16"/>
      <c r="X138" s="16"/>
      <c r="Y138" s="16"/>
      <c r="Z138" s="17"/>
      <c r="AE138" s="345"/>
    </row>
    <row r="139" spans="1:31" s="59" customFormat="1" ht="38.25">
      <c r="A139" s="8"/>
      <c r="B139" s="11" t="str">
        <f>+IFERROR(VLOOKUP(C139,Listas!$L$8:$M$101,2,FALSE),"")</f>
        <v>10040104</v>
      </c>
      <c r="C139" s="334" t="s">
        <v>481</v>
      </c>
      <c r="D139" s="274"/>
      <c r="E139" s="275"/>
      <c r="F139" s="637"/>
      <c r="G139" s="385" t="s">
        <v>1126</v>
      </c>
      <c r="H139" s="9" t="str">
        <f>+IF(I139=""," ",VLOOKUP(I139,Listas!$I$8:$J$10,2,FALSE))</f>
        <v>04</v>
      </c>
      <c r="I139" s="495" t="s">
        <v>466</v>
      </c>
      <c r="J139" s="356">
        <f>+IF(K139=""," ",VLOOKUP(K139,PUC!$B:$C,2,FALSE))</f>
        <v>6208021104</v>
      </c>
      <c r="K139" s="334" t="s">
        <v>987</v>
      </c>
      <c r="L139" s="11" t="str">
        <f>+IF(M139=""," ",VLOOKUP(M139,Listas!$F$9:$G$17,2,FALSE))</f>
        <v>02</v>
      </c>
      <c r="M139" s="475" t="s">
        <v>444</v>
      </c>
      <c r="N139" s="345">
        <f>+IFERROR((MROUND(AE139*$AD$12,1000)),"")-2000000</f>
        <v>2000000</v>
      </c>
      <c r="O139" s="15"/>
      <c r="P139" s="16"/>
      <c r="Q139" s="16"/>
      <c r="R139" s="16"/>
      <c r="S139" s="16"/>
      <c r="T139" s="16"/>
      <c r="U139" s="16"/>
      <c r="V139" s="16"/>
      <c r="W139" s="16"/>
      <c r="X139" s="16"/>
      <c r="Y139" s="16"/>
      <c r="Z139" s="17"/>
      <c r="AE139" s="345">
        <v>20000000</v>
      </c>
    </row>
    <row r="140" spans="1:31" s="59" customFormat="1" ht="38.25">
      <c r="A140" s="8"/>
      <c r="B140" s="11" t="str">
        <f>+IFERROR(VLOOKUP(C140,Listas!$L$8:$M$101,2,FALSE),"")</f>
        <v>10040104</v>
      </c>
      <c r="C140" s="334" t="s">
        <v>481</v>
      </c>
      <c r="D140" s="274"/>
      <c r="E140" s="275"/>
      <c r="F140" s="637"/>
      <c r="G140" s="387" t="s">
        <v>1127</v>
      </c>
      <c r="H140" s="377" t="str">
        <f>+IF(I140=""," ",VLOOKUP(I140,Listas!$I$8:$J$10,2,FALSE))</f>
        <v>04</v>
      </c>
      <c r="I140" s="498" t="s">
        <v>466</v>
      </c>
      <c r="J140" s="378">
        <f>+IF(K140=""," ",VLOOKUP(K140,PUC!$B:$C,2,FALSE))</f>
        <v>6208021104</v>
      </c>
      <c r="K140" s="379" t="s">
        <v>987</v>
      </c>
      <c r="L140" s="380" t="str">
        <f>+IF(M140=""," ",VLOOKUP(M140,Listas!$F$9:$G$17,2,FALSE))</f>
        <v>02</v>
      </c>
      <c r="M140" s="478" t="s">
        <v>444</v>
      </c>
      <c r="N140" s="381">
        <v>13930000</v>
      </c>
      <c r="O140" s="15" t="s">
        <v>1331</v>
      </c>
      <c r="P140" s="16"/>
      <c r="Q140" s="16"/>
      <c r="R140" s="16"/>
      <c r="S140" s="16"/>
      <c r="T140" s="16"/>
      <c r="U140" s="16"/>
      <c r="V140" s="16"/>
      <c r="W140" s="16"/>
      <c r="X140" s="16"/>
      <c r="Y140" s="16"/>
      <c r="Z140" s="17"/>
    </row>
    <row r="141" spans="1:31" s="59" customFormat="1" ht="38.25">
      <c r="A141" s="8"/>
      <c r="B141" s="11" t="str">
        <f>+IFERROR(VLOOKUP(C141,Listas!$L$8:$M$101,2,FALSE),"")</f>
        <v>10040104</v>
      </c>
      <c r="C141" s="334" t="s">
        <v>481</v>
      </c>
      <c r="D141" s="274"/>
      <c r="E141" s="275"/>
      <c r="F141" s="637"/>
      <c r="G141" s="387" t="s">
        <v>1128</v>
      </c>
      <c r="H141" s="377" t="str">
        <f>+IF(I141=""," ",VLOOKUP(I141,Listas!$I$8:$J$10,2,FALSE))</f>
        <v>04</v>
      </c>
      <c r="I141" s="498" t="s">
        <v>466</v>
      </c>
      <c r="J141" s="378">
        <f>+IF(K141=""," ",VLOOKUP(K141,PUC!$B:$C,2,FALSE))</f>
        <v>6208021101</v>
      </c>
      <c r="K141" s="379" t="s">
        <v>986</v>
      </c>
      <c r="L141" s="380" t="str">
        <f>+IF(M141=""," ",VLOOKUP(M141,Listas!$F$9:$G$17,2,FALSE))</f>
        <v>02</v>
      </c>
      <c r="M141" s="478" t="s">
        <v>444</v>
      </c>
      <c r="N141" s="381">
        <v>1383000</v>
      </c>
      <c r="O141" s="15" t="s">
        <v>1332</v>
      </c>
      <c r="P141" s="16"/>
      <c r="Q141" s="16"/>
      <c r="R141" s="16"/>
      <c r="S141" s="16"/>
      <c r="T141" s="16"/>
      <c r="U141" s="16"/>
      <c r="V141" s="16"/>
      <c r="W141" s="16"/>
      <c r="X141" s="16"/>
      <c r="Y141" s="16"/>
      <c r="Z141" s="17"/>
    </row>
    <row r="142" spans="1:31" s="59" customFormat="1" ht="38.25" hidden="1">
      <c r="A142" s="8"/>
      <c r="B142" s="11" t="str">
        <f>+IFERROR(VLOOKUP(C142,Listas!$L$8:$M$101,2,FALSE),"")</f>
        <v>10040104</v>
      </c>
      <c r="C142" s="334" t="s">
        <v>481</v>
      </c>
      <c r="D142" s="274"/>
      <c r="E142" s="275"/>
      <c r="F142" s="637"/>
      <c r="G142" s="385"/>
      <c r="H142" s="9" t="str">
        <f>+IF(I142=""," ",VLOOKUP(I142,Listas!$I$8:$J$10,2,FALSE))</f>
        <v xml:space="preserve"> </v>
      </c>
      <c r="I142" s="495"/>
      <c r="J142" s="356" t="str">
        <f>+IF(K142=""," ",VLOOKUP(K142,PUC!$B:$C,2,FALSE))</f>
        <v xml:space="preserve"> </v>
      </c>
      <c r="K142" s="334"/>
      <c r="L142" s="11" t="str">
        <f>+IF(M142=""," ",VLOOKUP(M142,Listas!$F$9:$G$17,2,FALSE))</f>
        <v xml:space="preserve"> </v>
      </c>
      <c r="M142" s="475"/>
      <c r="N142" s="345">
        <f t="shared" si="1"/>
        <v>0</v>
      </c>
      <c r="O142" s="15"/>
      <c r="P142" s="16"/>
      <c r="Q142" s="16"/>
      <c r="R142" s="16"/>
      <c r="S142" s="16"/>
      <c r="T142" s="16"/>
      <c r="U142" s="16"/>
      <c r="V142" s="16"/>
      <c r="W142" s="16"/>
      <c r="X142" s="16"/>
      <c r="Y142" s="16"/>
      <c r="Z142" s="17"/>
      <c r="AE142" s="345"/>
    </row>
    <row r="143" spans="1:31" s="59" customFormat="1" ht="38.25" hidden="1">
      <c r="A143" s="8"/>
      <c r="B143" s="11" t="str">
        <f>+IFERROR(VLOOKUP(C143,Listas!$L$8:$M$101,2,FALSE),"")</f>
        <v>10040104</v>
      </c>
      <c r="C143" s="334" t="s">
        <v>481</v>
      </c>
      <c r="D143" s="274"/>
      <c r="E143" s="275"/>
      <c r="F143" s="635"/>
      <c r="G143" s="385"/>
      <c r="H143" s="9" t="str">
        <f>+IF(I143=""," ",VLOOKUP(I143,Listas!$I$8:$J$10,2,FALSE))</f>
        <v xml:space="preserve"> </v>
      </c>
      <c r="I143" s="495"/>
      <c r="J143" s="356" t="str">
        <f>+IF(K143=""," ",VLOOKUP(K143,PUC!$B:$C,2,FALSE))</f>
        <v xml:space="preserve"> </v>
      </c>
      <c r="K143" s="334"/>
      <c r="L143" s="11" t="str">
        <f>+IF(M143=""," ",VLOOKUP(M143,Listas!$F$9:$G$17,2,FALSE))</f>
        <v xml:space="preserve"> </v>
      </c>
      <c r="M143" s="475"/>
      <c r="N143" s="345">
        <f t="shared" ref="N143:N206" si="2">+IFERROR((MROUND(AE143*$AD$12,1000)),"")</f>
        <v>0</v>
      </c>
      <c r="O143" s="15"/>
      <c r="P143" s="16"/>
      <c r="Q143" s="16"/>
      <c r="R143" s="16"/>
      <c r="S143" s="16"/>
      <c r="T143" s="16"/>
      <c r="U143" s="16"/>
      <c r="V143" s="16"/>
      <c r="W143" s="16"/>
      <c r="X143" s="16"/>
      <c r="Y143" s="16"/>
      <c r="Z143" s="17"/>
      <c r="AE143" s="345"/>
    </row>
    <row r="144" spans="1:31" s="59" customFormat="1" ht="51">
      <c r="A144" s="8"/>
      <c r="B144" s="11" t="str">
        <f>+IFERROR(VLOOKUP(C144,Listas!$L$8:$M$101,2,FALSE),"")</f>
        <v>10040104</v>
      </c>
      <c r="C144" s="334" t="s">
        <v>481</v>
      </c>
      <c r="D144" s="274"/>
      <c r="E144" s="275"/>
      <c r="F144" s="634" t="s">
        <v>1119</v>
      </c>
      <c r="G144" s="385" t="s">
        <v>1120</v>
      </c>
      <c r="H144" s="9" t="str">
        <f>+IF(I144=""," ",VLOOKUP(I144,Listas!$I$8:$J$10,2,FALSE))</f>
        <v xml:space="preserve"> </v>
      </c>
      <c r="I144" s="495"/>
      <c r="J144" s="356" t="str">
        <f>+IF(K144=""," ",VLOOKUP(K144,PUC!$B:$C,2,FALSE))</f>
        <v xml:space="preserve"> </v>
      </c>
      <c r="K144" s="334"/>
      <c r="L144" s="11" t="str">
        <f>+IF(M144=""," ",VLOOKUP(M144,Listas!$F$9:$G$17,2,FALSE))</f>
        <v xml:space="preserve"> </v>
      </c>
      <c r="M144" s="475"/>
      <c r="N144" s="345">
        <f t="shared" si="2"/>
        <v>0</v>
      </c>
      <c r="O144" s="15"/>
      <c r="P144" s="16"/>
      <c r="Q144" s="16"/>
      <c r="R144" s="16"/>
      <c r="S144" s="16"/>
      <c r="T144" s="16"/>
      <c r="U144" s="16"/>
      <c r="V144" s="16"/>
      <c r="W144" s="16"/>
      <c r="X144" s="16"/>
      <c r="Y144" s="16"/>
      <c r="Z144" s="17"/>
      <c r="AE144" s="345"/>
    </row>
    <row r="145" spans="1:31" s="59" customFormat="1" ht="51">
      <c r="A145" s="8"/>
      <c r="B145" s="11" t="str">
        <f>+IFERROR(VLOOKUP(C145,Listas!$L$8:$M$101,2,FALSE),"")</f>
        <v>10040104</v>
      </c>
      <c r="C145" s="334" t="s">
        <v>481</v>
      </c>
      <c r="D145" s="274"/>
      <c r="E145" s="275"/>
      <c r="F145" s="637"/>
      <c r="G145" s="385" t="s">
        <v>1121</v>
      </c>
      <c r="H145" s="9" t="str">
        <f>+IF(I145=""," ",VLOOKUP(I145,Listas!$I$8:$J$10,2,FALSE))</f>
        <v xml:space="preserve"> </v>
      </c>
      <c r="I145" s="495"/>
      <c r="J145" s="356" t="str">
        <f>+IF(K145=""," ",VLOOKUP(K145,PUC!$B:$C,2,FALSE))</f>
        <v xml:space="preserve"> </v>
      </c>
      <c r="K145" s="334"/>
      <c r="L145" s="11" t="str">
        <f>+IF(M145=""," ",VLOOKUP(M145,Listas!$F$9:$G$17,2,FALSE))</f>
        <v xml:space="preserve"> </v>
      </c>
      <c r="M145" s="475"/>
      <c r="N145" s="345">
        <f t="shared" si="2"/>
        <v>0</v>
      </c>
      <c r="O145" s="15"/>
      <c r="P145" s="16"/>
      <c r="Q145" s="16"/>
      <c r="R145" s="16"/>
      <c r="S145" s="16"/>
      <c r="T145" s="16"/>
      <c r="U145" s="16"/>
      <c r="V145" s="16"/>
      <c r="W145" s="16"/>
      <c r="X145" s="16"/>
      <c r="Y145" s="16"/>
      <c r="Z145" s="17"/>
      <c r="AE145" s="345"/>
    </row>
    <row r="146" spans="1:31" s="59" customFormat="1" ht="38.25">
      <c r="A146" s="8"/>
      <c r="B146" s="11" t="str">
        <f>+IFERROR(VLOOKUP(C146,Listas!$L$8:$M$101,2,FALSE),"")</f>
        <v>10040104</v>
      </c>
      <c r="C146" s="334" t="s">
        <v>481</v>
      </c>
      <c r="D146" s="274"/>
      <c r="E146" s="275"/>
      <c r="F146" s="637"/>
      <c r="G146" s="385" t="s">
        <v>1129</v>
      </c>
      <c r="H146" s="9" t="str">
        <f>+IF(I146=""," ",VLOOKUP(I146,Listas!$I$8:$J$10,2,FALSE))</f>
        <v>04</v>
      </c>
      <c r="I146" s="495" t="s">
        <v>466</v>
      </c>
      <c r="J146" s="356">
        <f>+IF(K146=""," ",VLOOKUP(K146,PUC!$B:$C,2,FALSE))</f>
        <v>6208021102</v>
      </c>
      <c r="K146" s="334" t="s">
        <v>979</v>
      </c>
      <c r="L146" s="11" t="str">
        <f>+IF(M146=""," ",VLOOKUP(M146,Listas!$F$9:$G$17,2,FALSE))</f>
        <v>02</v>
      </c>
      <c r="M146" s="475" t="s">
        <v>444</v>
      </c>
      <c r="N146" s="345">
        <f t="shared" si="2"/>
        <v>5000000</v>
      </c>
      <c r="O146" s="15"/>
      <c r="P146" s="16"/>
      <c r="Q146" s="16"/>
      <c r="R146" s="16"/>
      <c r="S146" s="16"/>
      <c r="T146" s="16"/>
      <c r="U146" s="16"/>
      <c r="V146" s="16"/>
      <c r="W146" s="16"/>
      <c r="X146" s="16"/>
      <c r="Y146" s="16"/>
      <c r="Z146" s="17"/>
      <c r="AE146" s="345">
        <v>25000000</v>
      </c>
    </row>
    <row r="147" spans="1:31" s="59" customFormat="1" ht="38.25">
      <c r="A147" s="8"/>
      <c r="B147" s="11" t="str">
        <f>+IFERROR(VLOOKUP(C147,Listas!$L$8:$M$101,2,FALSE),"")</f>
        <v>10040104</v>
      </c>
      <c r="C147" s="334" t="s">
        <v>481</v>
      </c>
      <c r="D147" s="274"/>
      <c r="E147" s="275"/>
      <c r="F147" s="637"/>
      <c r="G147" s="385" t="s">
        <v>1124</v>
      </c>
      <c r="H147" s="9" t="str">
        <f>+IF(I147=""," ",VLOOKUP(I147,Listas!$I$8:$J$10,2,FALSE))</f>
        <v xml:space="preserve"> </v>
      </c>
      <c r="I147" s="495"/>
      <c r="J147" s="356" t="str">
        <f>+IF(K147=""," ",VLOOKUP(K147,PUC!$B:$C,2,FALSE))</f>
        <v xml:space="preserve"> </v>
      </c>
      <c r="K147" s="334"/>
      <c r="L147" s="11" t="str">
        <f>+IF(M147=""," ",VLOOKUP(M147,Listas!$F$9:$G$17,2,FALSE))</f>
        <v xml:space="preserve"> </v>
      </c>
      <c r="M147" s="475"/>
      <c r="N147" s="345">
        <f t="shared" si="2"/>
        <v>0</v>
      </c>
      <c r="O147" s="15"/>
      <c r="P147" s="16"/>
      <c r="Q147" s="16"/>
      <c r="R147" s="16"/>
      <c r="S147" s="16"/>
      <c r="T147" s="16"/>
      <c r="U147" s="16"/>
      <c r="V147" s="16"/>
      <c r="W147" s="16"/>
      <c r="X147" s="16"/>
      <c r="Y147" s="16"/>
      <c r="Z147" s="17"/>
      <c r="AE147" s="345"/>
    </row>
    <row r="148" spans="1:31" s="59" customFormat="1" ht="51">
      <c r="A148" s="8"/>
      <c r="B148" s="11" t="str">
        <f>+IFERROR(VLOOKUP(C148,Listas!$L$8:$M$101,2,FALSE),"")</f>
        <v>10040104</v>
      </c>
      <c r="C148" s="334" t="s">
        <v>481</v>
      </c>
      <c r="D148" s="274"/>
      <c r="E148" s="275"/>
      <c r="F148" s="637"/>
      <c r="G148" s="385" t="s">
        <v>1130</v>
      </c>
      <c r="H148" s="9" t="str">
        <f>+IF(I148=""," ",VLOOKUP(I148,Listas!$I$8:$J$10,2,FALSE))</f>
        <v xml:space="preserve"> </v>
      </c>
      <c r="I148" s="495"/>
      <c r="J148" s="356" t="str">
        <f>+IF(K148=""," ",VLOOKUP(K148,PUC!$B:$C,2,FALSE))</f>
        <v xml:space="preserve"> </v>
      </c>
      <c r="K148" s="334"/>
      <c r="L148" s="11" t="str">
        <f>+IF(M148=""," ",VLOOKUP(M148,Listas!$F$9:$G$17,2,FALSE))</f>
        <v xml:space="preserve"> </v>
      </c>
      <c r="M148" s="475"/>
      <c r="N148" s="345">
        <f t="shared" si="2"/>
        <v>0</v>
      </c>
      <c r="O148" s="15"/>
      <c r="P148" s="16"/>
      <c r="Q148" s="16"/>
      <c r="R148" s="16"/>
      <c r="S148" s="16"/>
      <c r="T148" s="16"/>
      <c r="U148" s="16"/>
      <c r="V148" s="16"/>
      <c r="W148" s="16"/>
      <c r="X148" s="16"/>
      <c r="Y148" s="16"/>
      <c r="Z148" s="17"/>
      <c r="AE148" s="345"/>
    </row>
    <row r="149" spans="1:31" s="59" customFormat="1" ht="38.25">
      <c r="A149" s="8"/>
      <c r="B149" s="11" t="str">
        <f>+IFERROR(VLOOKUP(C149,Listas!$L$8:$M$101,2,FALSE),"")</f>
        <v>10040104</v>
      </c>
      <c r="C149" s="334" t="s">
        <v>481</v>
      </c>
      <c r="D149" s="274"/>
      <c r="E149" s="275"/>
      <c r="F149" s="637"/>
      <c r="G149" s="385" t="s">
        <v>1131</v>
      </c>
      <c r="H149" s="9" t="str">
        <f>+IF(I149=""," ",VLOOKUP(I149,Listas!$I$8:$J$10,2,FALSE))</f>
        <v xml:space="preserve"> </v>
      </c>
      <c r="I149" s="495"/>
      <c r="J149" s="356" t="str">
        <f>+IF(K149=""," ",VLOOKUP(K149,PUC!$B:$C,2,FALSE))</f>
        <v xml:space="preserve"> </v>
      </c>
      <c r="K149" s="334"/>
      <c r="L149" s="11" t="str">
        <f>+IF(M149=""," ",VLOOKUP(M149,Listas!$F$9:$G$17,2,FALSE))</f>
        <v xml:space="preserve"> </v>
      </c>
      <c r="M149" s="475"/>
      <c r="N149" s="345">
        <f t="shared" si="2"/>
        <v>0</v>
      </c>
      <c r="O149" s="15"/>
      <c r="P149" s="16"/>
      <c r="Q149" s="16"/>
      <c r="R149" s="16"/>
      <c r="S149" s="16"/>
      <c r="T149" s="16"/>
      <c r="U149" s="16"/>
      <c r="V149" s="16"/>
      <c r="W149" s="16"/>
      <c r="X149" s="16"/>
      <c r="Y149" s="16"/>
      <c r="Z149" s="17"/>
      <c r="AE149" s="345"/>
    </row>
    <row r="150" spans="1:31" s="59" customFormat="1" ht="38.25">
      <c r="A150" s="8"/>
      <c r="B150" s="11" t="str">
        <f>+IFERROR(VLOOKUP(C150,Listas!$L$8:$M$101,2,FALSE),"")</f>
        <v>10040104</v>
      </c>
      <c r="C150" s="334" t="s">
        <v>481</v>
      </c>
      <c r="D150" s="274"/>
      <c r="E150" s="275"/>
      <c r="F150" s="637"/>
      <c r="G150" s="385" t="s">
        <v>1132</v>
      </c>
      <c r="H150" s="9" t="str">
        <f>+IF(I150=""," ",VLOOKUP(I150,Listas!$I$8:$J$10,2,FALSE))</f>
        <v xml:space="preserve"> </v>
      </c>
      <c r="I150" s="495"/>
      <c r="J150" s="356" t="str">
        <f>+IF(K150=""," ",VLOOKUP(K150,PUC!$B:$C,2,FALSE))</f>
        <v xml:space="preserve"> </v>
      </c>
      <c r="K150" s="334"/>
      <c r="L150" s="11" t="str">
        <f>+IF(M150=""," ",VLOOKUP(M150,Listas!$F$9:$G$17,2,FALSE))</f>
        <v xml:space="preserve"> </v>
      </c>
      <c r="M150" s="475"/>
      <c r="N150" s="345">
        <f t="shared" si="2"/>
        <v>0</v>
      </c>
      <c r="O150" s="15"/>
      <c r="P150" s="16"/>
      <c r="Q150" s="16"/>
      <c r="R150" s="16"/>
      <c r="S150" s="16"/>
      <c r="T150" s="16"/>
      <c r="U150" s="16"/>
      <c r="V150" s="16"/>
      <c r="W150" s="16"/>
      <c r="X150" s="16"/>
      <c r="Y150" s="16"/>
      <c r="Z150" s="17"/>
      <c r="AE150" s="345"/>
    </row>
    <row r="151" spans="1:31" s="59" customFormat="1" ht="64.5" thickBot="1">
      <c r="A151" s="8" t="s">
        <v>230</v>
      </c>
      <c r="B151" s="11" t="str">
        <f>+IFERROR(VLOOKUP(C151,Listas!$L$8:$M$101,2,FALSE),"")</f>
        <v>10040104</v>
      </c>
      <c r="C151" s="334" t="s">
        <v>481</v>
      </c>
      <c r="D151" s="274"/>
      <c r="E151" s="275"/>
      <c r="F151" s="637"/>
      <c r="G151" s="385" t="s">
        <v>1133</v>
      </c>
      <c r="H151" s="9" t="str">
        <f>+IF(I151=""," ",VLOOKUP(I151,Listas!$I$8:$J$10,2,FALSE))</f>
        <v xml:space="preserve"> </v>
      </c>
      <c r="I151" s="495"/>
      <c r="J151" s="356" t="str">
        <f>+IF(K151=""," ",VLOOKUP(K151,PUC!$B:$C,2,FALSE))</f>
        <v xml:space="preserve"> </v>
      </c>
      <c r="K151" s="334"/>
      <c r="L151" s="11" t="str">
        <f>+IF(M151=""," ",VLOOKUP(M151,Listas!$F$9:$G$17,2,FALSE))</f>
        <v xml:space="preserve"> </v>
      </c>
      <c r="M151" s="475"/>
      <c r="N151" s="345">
        <f t="shared" si="2"/>
        <v>0</v>
      </c>
      <c r="O151" s="15"/>
      <c r="P151" s="16"/>
      <c r="Q151" s="16"/>
      <c r="R151" s="16"/>
      <c r="S151" s="16"/>
      <c r="T151" s="16"/>
      <c r="U151" s="16"/>
      <c r="V151" s="16"/>
      <c r="W151" s="16"/>
      <c r="X151" s="16"/>
      <c r="Y151" s="16"/>
      <c r="Z151" s="17"/>
      <c r="AE151" s="345"/>
    </row>
    <row r="152" spans="1:31" s="59" customFormat="1" ht="38.25" hidden="1">
      <c r="A152" s="8"/>
      <c r="B152" s="11" t="str">
        <f>+IFERROR(VLOOKUP(C152,Listas!$L$8:$M$101,2,FALSE),"")</f>
        <v>10040104</v>
      </c>
      <c r="C152" s="334" t="s">
        <v>481</v>
      </c>
      <c r="D152" s="274"/>
      <c r="E152" s="275"/>
      <c r="F152" s="637"/>
      <c r="G152" s="385" t="s">
        <v>1134</v>
      </c>
      <c r="H152" s="9" t="str">
        <f>+IF(I152=""," ",VLOOKUP(I152,Listas!$I$8:$J$10,2,FALSE))</f>
        <v xml:space="preserve"> </v>
      </c>
      <c r="I152" s="495"/>
      <c r="J152" s="356" t="str">
        <f>+IF(K152=""," ",VLOOKUP(K152,PUC!$B:$C,2,FALSE))</f>
        <v xml:space="preserve"> </v>
      </c>
      <c r="K152" s="334"/>
      <c r="L152" s="11" t="str">
        <f>+IF(M152=""," ",VLOOKUP(M152,Listas!$F$9:$G$17,2,FALSE))</f>
        <v xml:space="preserve"> </v>
      </c>
      <c r="M152" s="475"/>
      <c r="N152" s="345">
        <f t="shared" si="2"/>
        <v>0</v>
      </c>
      <c r="O152" s="15"/>
      <c r="P152" s="16"/>
      <c r="Q152" s="16"/>
      <c r="R152" s="16"/>
      <c r="S152" s="16"/>
      <c r="T152" s="16"/>
      <c r="U152" s="16"/>
      <c r="V152" s="16"/>
      <c r="W152" s="16"/>
      <c r="X152" s="16"/>
      <c r="Y152" s="16"/>
      <c r="Z152" s="17"/>
      <c r="AE152" s="345"/>
    </row>
    <row r="153" spans="1:31" s="59" customFormat="1" ht="38.25" hidden="1">
      <c r="A153" s="8"/>
      <c r="B153" s="11" t="str">
        <f>+IFERROR(VLOOKUP(C153,Listas!$L$8:$M$101,2,FALSE),"")</f>
        <v>10040104</v>
      </c>
      <c r="C153" s="334" t="s">
        <v>481</v>
      </c>
      <c r="D153" s="274"/>
      <c r="E153" s="275"/>
      <c r="F153" s="637"/>
      <c r="G153" s="385" t="s">
        <v>1122</v>
      </c>
      <c r="H153" s="447" t="str">
        <f>+IF(I153=""," ",VLOOKUP(I153,Listas!$I$8:$J$10,2,FALSE))</f>
        <v>04</v>
      </c>
      <c r="I153" s="501" t="s">
        <v>466</v>
      </c>
      <c r="J153" s="449">
        <f>+IF(K153=""," ",VLOOKUP(K153,PUC!$B:$C,2,FALSE))</f>
        <v>6208021813</v>
      </c>
      <c r="K153" s="448" t="s">
        <v>985</v>
      </c>
      <c r="L153" s="450" t="str">
        <f>+IF(M153=""," ",VLOOKUP(M153,Listas!$F$9:$G$17,2,FALSE))</f>
        <v>02</v>
      </c>
      <c r="M153" s="481" t="s">
        <v>444</v>
      </c>
      <c r="N153" s="451">
        <f t="shared" si="2"/>
        <v>0</v>
      </c>
      <c r="O153" s="15"/>
      <c r="P153" s="16"/>
      <c r="Q153" s="16"/>
      <c r="R153" s="16"/>
      <c r="S153" s="16"/>
      <c r="T153" s="16"/>
      <c r="U153" s="16"/>
      <c r="V153" s="16"/>
      <c r="W153" s="16"/>
      <c r="X153" s="16"/>
      <c r="Y153" s="16"/>
      <c r="Z153" s="17"/>
      <c r="AE153" s="451"/>
    </row>
    <row r="154" spans="1:31" s="59" customFormat="1" ht="63.75" hidden="1">
      <c r="A154" s="8"/>
      <c r="B154" s="11" t="str">
        <f>+IFERROR(VLOOKUP(C154,Listas!$L$8:$M$101,2,FALSE),"")</f>
        <v>10040104</v>
      </c>
      <c r="C154" s="334" t="s">
        <v>481</v>
      </c>
      <c r="D154" s="274"/>
      <c r="E154" s="275"/>
      <c r="F154" s="637"/>
      <c r="G154" s="385" t="s">
        <v>1135</v>
      </c>
      <c r="H154" s="447" t="str">
        <f>+IF(I154=""," ",VLOOKUP(I154,Listas!$I$8:$J$10,2,FALSE))</f>
        <v>02</v>
      </c>
      <c r="I154" s="501" t="s">
        <v>464</v>
      </c>
      <c r="J154" s="449">
        <f>+IF(K154=""," ",VLOOKUP(K154,PUC!$B:$C,2,FALSE))</f>
        <v>6208021807</v>
      </c>
      <c r="K154" s="448" t="s">
        <v>843</v>
      </c>
      <c r="L154" s="450" t="str">
        <f>+IF(M154=""," ",VLOOKUP(M154,Listas!$F$9:$G$17,2,FALSE))</f>
        <v>02</v>
      </c>
      <c r="M154" s="481" t="s">
        <v>444</v>
      </c>
      <c r="N154" s="451">
        <f t="shared" si="2"/>
        <v>0</v>
      </c>
      <c r="O154" s="15"/>
      <c r="P154" s="16"/>
      <c r="Q154" s="16"/>
      <c r="R154" s="16"/>
      <c r="S154" s="16"/>
      <c r="T154" s="16"/>
      <c r="U154" s="16"/>
      <c r="V154" s="16"/>
      <c r="W154" s="16"/>
      <c r="X154" s="16"/>
      <c r="Y154" s="16"/>
      <c r="Z154" s="17"/>
      <c r="AE154" s="451"/>
    </row>
    <row r="155" spans="1:31" s="59" customFormat="1" ht="39" hidden="1" thickBot="1">
      <c r="A155" s="8"/>
      <c r="B155" s="11" t="str">
        <f>+IFERROR(VLOOKUP(C155,Listas!$L$8:$M$101,2,FALSE),"")</f>
        <v>10040104</v>
      </c>
      <c r="C155" s="334" t="s">
        <v>481</v>
      </c>
      <c r="D155" s="274"/>
      <c r="E155" s="275"/>
      <c r="F155" s="635"/>
      <c r="G155" s="385" t="s">
        <v>1123</v>
      </c>
      <c r="H155" s="447" t="str">
        <f>+IF(I155=""," ",VLOOKUP(I155,Listas!$I$8:$J$10,2,FALSE))</f>
        <v>02</v>
      </c>
      <c r="I155" s="501" t="s">
        <v>464</v>
      </c>
      <c r="J155" s="449">
        <f>+IF(K155=""," ",VLOOKUP(K155,PUC!$B:$C,2,FALSE))</f>
        <v>6208020707</v>
      </c>
      <c r="K155" s="448" t="s">
        <v>826</v>
      </c>
      <c r="L155" s="450" t="str">
        <f>+IF(M155=""," ",VLOOKUP(M155,Listas!$F$9:$G$17,2,FALSE))</f>
        <v>02</v>
      </c>
      <c r="M155" s="481" t="s">
        <v>444</v>
      </c>
      <c r="N155" s="451">
        <f t="shared" si="2"/>
        <v>0</v>
      </c>
      <c r="O155" s="15"/>
      <c r="P155" s="16"/>
      <c r="Q155" s="16"/>
      <c r="R155" s="16"/>
      <c r="S155" s="16"/>
      <c r="T155" s="16"/>
      <c r="U155" s="16"/>
      <c r="V155" s="16"/>
      <c r="W155" s="16"/>
      <c r="X155" s="16"/>
      <c r="Y155" s="16"/>
      <c r="Z155" s="17"/>
      <c r="AE155" s="451"/>
    </row>
    <row r="156" spans="1:31" s="59" customFormat="1" ht="29.25" hidden="1" customHeight="1">
      <c r="A156" s="8"/>
      <c r="B156" s="11" t="str">
        <f>+IFERROR(VLOOKUP(C156,Listas!$L$8:$M$101,2,FALSE),"")</f>
        <v>10040104</v>
      </c>
      <c r="C156" s="334" t="s">
        <v>481</v>
      </c>
      <c r="D156" s="274"/>
      <c r="E156" s="275"/>
      <c r="F156" s="301"/>
      <c r="G156" s="358"/>
      <c r="H156" s="447" t="str">
        <f>+IF(I156=""," ",VLOOKUP(I156,Listas!$I$8:$J$10,2,FALSE))</f>
        <v>03</v>
      </c>
      <c r="I156" s="501" t="s">
        <v>465</v>
      </c>
      <c r="J156" s="449">
        <f>+IF(K156=""," ",VLOOKUP(K156,PUC!$B:$C,2,FALSE))</f>
        <v>1524100101</v>
      </c>
      <c r="K156" s="448" t="s">
        <v>911</v>
      </c>
      <c r="L156" s="450" t="str">
        <f>+IF(M156=""," ",VLOOKUP(M156,Listas!$F$9:$G$17,2,FALSE))</f>
        <v>02</v>
      </c>
      <c r="M156" s="481" t="s">
        <v>444</v>
      </c>
      <c r="N156" s="451">
        <f t="shared" si="2"/>
        <v>0</v>
      </c>
      <c r="O156" s="15"/>
      <c r="P156" s="16"/>
      <c r="Q156" s="16"/>
      <c r="R156" s="16"/>
      <c r="S156" s="16"/>
      <c r="T156" s="16"/>
      <c r="U156" s="16"/>
      <c r="V156" s="16"/>
      <c r="W156" s="16"/>
      <c r="X156" s="16"/>
      <c r="Y156" s="16"/>
      <c r="Z156" s="17"/>
      <c r="AE156" s="451"/>
    </row>
    <row r="157" spans="1:31" s="59" customFormat="1" ht="29.25" hidden="1" customHeight="1">
      <c r="A157" s="8"/>
      <c r="B157" s="11" t="str">
        <f>+IFERROR(VLOOKUP(C157,Listas!$L$8:$M$101,2,FALSE),"")</f>
        <v>10040104</v>
      </c>
      <c r="C157" s="334" t="s">
        <v>481</v>
      </c>
      <c r="D157" s="274"/>
      <c r="E157" s="275"/>
      <c r="F157" s="274"/>
      <c r="G157" s="275"/>
      <c r="H157" s="9" t="str">
        <f>+IF(I157=""," ",VLOOKUP(I157,Listas!$I$8:$J$10,2,FALSE))</f>
        <v xml:space="preserve"> </v>
      </c>
      <c r="I157" s="495"/>
      <c r="J157" s="356" t="str">
        <f>+IF(K157=""," ",VLOOKUP(K157,PUC!$B:$C,2,FALSE))</f>
        <v xml:space="preserve"> </v>
      </c>
      <c r="K157" s="334"/>
      <c r="L157" s="11" t="str">
        <f>+IF(M157=""," ",VLOOKUP(M157,Listas!$F$9:$G$17,2,FALSE))</f>
        <v xml:space="preserve"> </v>
      </c>
      <c r="M157" s="475"/>
      <c r="N157" s="345">
        <f t="shared" si="2"/>
        <v>0</v>
      </c>
      <c r="O157" s="15"/>
      <c r="P157" s="16"/>
      <c r="Q157" s="16"/>
      <c r="R157" s="16"/>
      <c r="S157" s="16"/>
      <c r="T157" s="16"/>
      <c r="U157" s="16"/>
      <c r="V157" s="16"/>
      <c r="W157" s="16"/>
      <c r="X157" s="16"/>
      <c r="Y157" s="16"/>
      <c r="Z157" s="17"/>
      <c r="AE157" s="345"/>
    </row>
    <row r="158" spans="1:31" s="59" customFormat="1" ht="29.25" hidden="1" customHeight="1">
      <c r="A158" s="8"/>
      <c r="B158" s="11" t="str">
        <f>+IFERROR(VLOOKUP(C158,Listas!$L$8:$M$101,2,FALSE),"")</f>
        <v>10040104</v>
      </c>
      <c r="C158" s="334" t="s">
        <v>481</v>
      </c>
      <c r="D158" s="274"/>
      <c r="E158" s="275"/>
      <c r="F158" s="274"/>
      <c r="G158" s="275"/>
      <c r="H158" s="9" t="str">
        <f>+IF(I158=""," ",VLOOKUP(I158,Listas!$I$8:$J$10,2,FALSE))</f>
        <v xml:space="preserve"> </v>
      </c>
      <c r="I158" s="495"/>
      <c r="J158" s="356" t="str">
        <f>+IF(K158=""," ",VLOOKUP(K158,PUC!$B:$C,2,FALSE))</f>
        <v xml:space="preserve"> </v>
      </c>
      <c r="K158" s="334"/>
      <c r="L158" s="11" t="str">
        <f>+IF(M158=""," ",VLOOKUP(M158,Listas!$F$9:$G$17,2,FALSE))</f>
        <v xml:space="preserve"> </v>
      </c>
      <c r="M158" s="475"/>
      <c r="N158" s="345">
        <f t="shared" si="2"/>
        <v>0</v>
      </c>
      <c r="O158" s="15"/>
      <c r="P158" s="16"/>
      <c r="Q158" s="16"/>
      <c r="R158" s="16"/>
      <c r="S158" s="16"/>
      <c r="T158" s="16"/>
      <c r="U158" s="16"/>
      <c r="V158" s="16"/>
      <c r="W158" s="16"/>
      <c r="X158" s="16"/>
      <c r="Y158" s="16"/>
      <c r="Z158" s="17"/>
      <c r="AE158" s="345"/>
    </row>
    <row r="159" spans="1:31" s="59" customFormat="1" ht="29.25" hidden="1" customHeight="1">
      <c r="A159" s="8"/>
      <c r="B159" s="11" t="str">
        <f>+IFERROR(VLOOKUP(C159,Listas!$L$8:$M$101,2,FALSE),"")</f>
        <v>10040104</v>
      </c>
      <c r="C159" s="334" t="s">
        <v>481</v>
      </c>
      <c r="D159" s="274"/>
      <c r="E159" s="275"/>
      <c r="F159" s="274"/>
      <c r="G159" s="275"/>
      <c r="H159" s="9" t="str">
        <f>+IF(I159=""," ",VLOOKUP(I159,Listas!$I$8:$J$10,2,FALSE))</f>
        <v xml:space="preserve"> </v>
      </c>
      <c r="I159" s="495"/>
      <c r="J159" s="356" t="str">
        <f>+IF(K159=""," ",VLOOKUP(K159,PUC!$B:$C,2,FALSE))</f>
        <v xml:space="preserve"> </v>
      </c>
      <c r="K159" s="334"/>
      <c r="L159" s="11" t="str">
        <f>+IF(M159=""," ",VLOOKUP(M159,Listas!$F$9:$G$17,2,FALSE))</f>
        <v xml:space="preserve"> </v>
      </c>
      <c r="M159" s="475"/>
      <c r="N159" s="345">
        <f t="shared" si="2"/>
        <v>0</v>
      </c>
      <c r="O159" s="15"/>
      <c r="P159" s="16"/>
      <c r="Q159" s="16"/>
      <c r="R159" s="16"/>
      <c r="S159" s="16"/>
      <c r="T159" s="16"/>
      <c r="U159" s="16"/>
      <c r="V159" s="16"/>
      <c r="W159" s="16"/>
      <c r="X159" s="16"/>
      <c r="Y159" s="16"/>
      <c r="Z159" s="17"/>
      <c r="AE159" s="345"/>
    </row>
    <row r="160" spans="1:31" s="59" customFormat="1" ht="29.25" hidden="1" customHeight="1" thickBot="1">
      <c r="A160" s="8"/>
      <c r="B160" s="28" t="str">
        <f>+IFERROR(VLOOKUP(C160,Listas!$L$8:$M$101,2,FALSE),"")</f>
        <v>10040104</v>
      </c>
      <c r="C160" s="341" t="s">
        <v>481</v>
      </c>
      <c r="D160" s="280"/>
      <c r="E160" s="281"/>
      <c r="F160" s="280"/>
      <c r="G160" s="281"/>
      <c r="H160" s="26" t="str">
        <f>+IF(I160=""," ",VLOOKUP(I160,Listas!$I$8:$J$10,2,FALSE))</f>
        <v xml:space="preserve"> </v>
      </c>
      <c r="I160" s="499"/>
      <c r="J160" s="382" t="str">
        <f>+IF(K160=""," ",VLOOKUP(K160,PUC!$B:$C,2,FALSE))</f>
        <v xml:space="preserve"> </v>
      </c>
      <c r="K160" s="341"/>
      <c r="L160" s="28" t="str">
        <f>+IF(M160=""," ",VLOOKUP(M160,Listas!$F$9:$G$17,2,FALSE))</f>
        <v xml:space="preserve"> </v>
      </c>
      <c r="M160" s="479"/>
      <c r="N160" s="348">
        <f t="shared" si="2"/>
        <v>0</v>
      </c>
      <c r="O160" s="29"/>
      <c r="P160" s="30"/>
      <c r="Q160" s="30"/>
      <c r="R160" s="30"/>
      <c r="S160" s="30"/>
      <c r="T160" s="30"/>
      <c r="U160" s="30"/>
      <c r="V160" s="30"/>
      <c r="W160" s="30"/>
      <c r="X160" s="30"/>
      <c r="Y160" s="30"/>
      <c r="Z160" s="31"/>
      <c r="AE160" s="348"/>
    </row>
    <row r="161" spans="1:31" s="59" customFormat="1" ht="76.5">
      <c r="A161" s="8"/>
      <c r="B161" s="20" t="str">
        <f>+IFERROR(VLOOKUP(C161,Listas!$L$8:$M$101,2,FALSE),"")</f>
        <v>10050101</v>
      </c>
      <c r="C161" s="339" t="s">
        <v>482</v>
      </c>
      <c r="D161" s="276"/>
      <c r="E161" s="277"/>
      <c r="F161" s="636" t="s">
        <v>1136</v>
      </c>
      <c r="G161" s="386" t="s">
        <v>1137</v>
      </c>
      <c r="H161" s="18" t="str">
        <f>+IF(I161=""," ",VLOOKUP(I161,Listas!$I$12:$J$14,2,FALSE))</f>
        <v xml:space="preserve"> </v>
      </c>
      <c r="I161" s="497"/>
      <c r="J161" s="362" t="str">
        <f>+IF(K161=""," ",VLOOKUP(K161,PUC!$B:$C,2,FALSE))</f>
        <v xml:space="preserve"> </v>
      </c>
      <c r="K161" s="339"/>
      <c r="L161" s="20" t="str">
        <f>+IF(M161=""," ",VLOOKUP(M161,Listas!$F$9:$G$17,2,FALSE))</f>
        <v xml:space="preserve"> </v>
      </c>
      <c r="M161" s="477"/>
      <c r="N161" s="346">
        <f t="shared" si="2"/>
        <v>0</v>
      </c>
      <c r="O161" s="12"/>
      <c r="P161" s="13"/>
      <c r="Q161" s="13"/>
      <c r="R161" s="13"/>
      <c r="S161" s="13"/>
      <c r="T161" s="13"/>
      <c r="U161" s="13"/>
      <c r="V161" s="13"/>
      <c r="W161" s="13"/>
      <c r="X161" s="13"/>
      <c r="Y161" s="13"/>
      <c r="Z161" s="14"/>
      <c r="AA161" s="59" t="e">
        <f>IF(I161="Gastos Investigación",GtosInves,IF(I161="Inversión",Inversiones,InverInvest))</f>
        <v>#VALUE!</v>
      </c>
      <c r="AE161" s="346"/>
    </row>
    <row r="162" spans="1:31" s="59" customFormat="1" ht="25.5">
      <c r="A162" s="8"/>
      <c r="B162" s="11" t="str">
        <f>+IFERROR(VLOOKUP(C162,Listas!$L$8:$M$101,2,FALSE),"")</f>
        <v>10050101</v>
      </c>
      <c r="C162" s="334" t="s">
        <v>482</v>
      </c>
      <c r="D162" s="274"/>
      <c r="E162" s="275"/>
      <c r="F162" s="637"/>
      <c r="G162" s="385" t="s">
        <v>1138</v>
      </c>
      <c r="H162" s="32" t="str">
        <f>+IF(I162=""," ",VLOOKUP(I162,Listas!$I$12:$J$14,2,FALSE))</f>
        <v xml:space="preserve"> </v>
      </c>
      <c r="I162" s="502"/>
      <c r="J162" s="356" t="str">
        <f>+IF(K162=""," ",VLOOKUP(K162,PUC!$B:$C,2,FALSE))</f>
        <v xml:space="preserve"> </v>
      </c>
      <c r="K162" s="342"/>
      <c r="L162" s="11" t="str">
        <f>+IF(M162=""," ",VLOOKUP(M162,Listas!$F$9:$G$17,2,FALSE))</f>
        <v xml:space="preserve"> </v>
      </c>
      <c r="M162" s="475"/>
      <c r="N162" s="345">
        <f t="shared" si="2"/>
        <v>0</v>
      </c>
      <c r="O162" s="15"/>
      <c r="P162" s="16"/>
      <c r="Q162" s="16"/>
      <c r="R162" s="16"/>
      <c r="S162" s="16"/>
      <c r="T162" s="16"/>
      <c r="U162" s="16"/>
      <c r="V162" s="16"/>
      <c r="W162" s="16"/>
      <c r="X162" s="16"/>
      <c r="Y162" s="16"/>
      <c r="Z162" s="17"/>
      <c r="AE162" s="345"/>
    </row>
    <row r="163" spans="1:31" s="59" customFormat="1" ht="25.5">
      <c r="A163" s="8"/>
      <c r="B163" s="11" t="str">
        <f>+IFERROR(VLOOKUP(C163,Listas!$L$8:$M$101,2,FALSE),"")</f>
        <v>10050101</v>
      </c>
      <c r="C163" s="334" t="s">
        <v>482</v>
      </c>
      <c r="D163" s="274"/>
      <c r="E163" s="275"/>
      <c r="F163" s="635"/>
      <c r="G163" s="385" t="s">
        <v>1139</v>
      </c>
      <c r="H163" s="32" t="str">
        <f>+IF(I163=""," ",VLOOKUP(I163,Listas!$I$12:$J$14,2,FALSE))</f>
        <v xml:space="preserve"> </v>
      </c>
      <c r="I163" s="502"/>
      <c r="J163" s="356" t="str">
        <f>+IF(K163=""," ",VLOOKUP(K163,PUC!$B:$C,2,FALSE))</f>
        <v xml:space="preserve"> </v>
      </c>
      <c r="K163" s="342"/>
      <c r="L163" s="11" t="str">
        <f>+IF(M163=""," ",VLOOKUP(M163,Listas!$F$9:$G$17,2,FALSE))</f>
        <v xml:space="preserve"> </v>
      </c>
      <c r="M163" s="475"/>
      <c r="N163" s="345">
        <f t="shared" si="2"/>
        <v>0</v>
      </c>
      <c r="O163" s="15"/>
      <c r="P163" s="16"/>
      <c r="Q163" s="16"/>
      <c r="R163" s="16"/>
      <c r="S163" s="16"/>
      <c r="T163" s="16"/>
      <c r="U163" s="16"/>
      <c r="V163" s="16"/>
      <c r="W163" s="16"/>
      <c r="X163" s="16"/>
      <c r="Y163" s="16"/>
      <c r="Z163" s="17"/>
      <c r="AE163" s="345"/>
    </row>
    <row r="164" spans="1:31" s="59" customFormat="1" ht="25.5" customHeight="1">
      <c r="A164" s="8"/>
      <c r="B164" s="11" t="str">
        <f>+IFERROR(VLOOKUP(C164,Listas!$L$8:$M$101,2,FALSE),"")</f>
        <v>10050101</v>
      </c>
      <c r="C164" s="334" t="s">
        <v>482</v>
      </c>
      <c r="D164" s="274"/>
      <c r="E164" s="275"/>
      <c r="F164" s="627" t="s">
        <v>1140</v>
      </c>
      <c r="G164" s="385" t="s">
        <v>1141</v>
      </c>
      <c r="H164" s="32" t="str">
        <f>+IF(I164=""," ",VLOOKUP(I164,Listas!$I$12:$J$14,2,FALSE))</f>
        <v xml:space="preserve"> </v>
      </c>
      <c r="I164" s="502"/>
      <c r="J164" s="356" t="str">
        <f>+IF(K164=""," ",VLOOKUP(K164,PUC!$B:$C,2,FALSE))</f>
        <v xml:space="preserve"> </v>
      </c>
      <c r="K164" s="342"/>
      <c r="L164" s="11" t="str">
        <f>+IF(M164=""," ",VLOOKUP(M164,Listas!$F$9:$G$17,2,FALSE))</f>
        <v xml:space="preserve"> </v>
      </c>
      <c r="M164" s="475"/>
      <c r="N164" s="345">
        <f t="shared" si="2"/>
        <v>0</v>
      </c>
      <c r="O164" s="15"/>
      <c r="P164" s="16"/>
      <c r="Q164" s="16"/>
      <c r="R164" s="16"/>
      <c r="S164" s="16"/>
      <c r="T164" s="16"/>
      <c r="U164" s="16"/>
      <c r="V164" s="16"/>
      <c r="W164" s="16"/>
      <c r="X164" s="16"/>
      <c r="Y164" s="16"/>
      <c r="Z164" s="17"/>
      <c r="AE164" s="345"/>
    </row>
    <row r="165" spans="1:31" s="59" customFormat="1" ht="25.5">
      <c r="A165" s="8"/>
      <c r="B165" s="11" t="str">
        <f>+IFERROR(VLOOKUP(C165,Listas!$L$8:$M$101,2,FALSE),"")</f>
        <v>10050101</v>
      </c>
      <c r="C165" s="334" t="s">
        <v>482</v>
      </c>
      <c r="D165" s="274"/>
      <c r="E165" s="275"/>
      <c r="F165" s="628"/>
      <c r="G165" s="385" t="s">
        <v>1142</v>
      </c>
      <c r="H165" s="32" t="str">
        <f>+IF(I165=""," ",VLOOKUP(I165,Listas!$I$12:$J$14,2,FALSE))</f>
        <v xml:space="preserve"> </v>
      </c>
      <c r="I165" s="502"/>
      <c r="J165" s="356" t="str">
        <f>+IF(K165=""," ",VLOOKUP(K165,PUC!$B:$C,2,FALSE))</f>
        <v xml:space="preserve"> </v>
      </c>
      <c r="K165" s="342"/>
      <c r="L165" s="11" t="str">
        <f>+IF(M165=""," ",VLOOKUP(M165,Listas!$F$9:$G$17,2,FALSE))</f>
        <v xml:space="preserve"> </v>
      </c>
      <c r="M165" s="475"/>
      <c r="N165" s="345">
        <f t="shared" si="2"/>
        <v>0</v>
      </c>
      <c r="O165" s="15"/>
      <c r="P165" s="16"/>
      <c r="Q165" s="16"/>
      <c r="R165" s="16"/>
      <c r="S165" s="16"/>
      <c r="T165" s="16"/>
      <c r="U165" s="16"/>
      <c r="V165" s="16"/>
      <c r="W165" s="16"/>
      <c r="X165" s="16"/>
      <c r="Y165" s="16"/>
      <c r="Z165" s="17"/>
      <c r="AE165" s="345"/>
    </row>
    <row r="166" spans="1:31" s="59" customFormat="1" ht="38.25">
      <c r="A166" s="8"/>
      <c r="B166" s="11" t="str">
        <f>+IFERROR(VLOOKUP(C166,Listas!$L$8:$M$101,2,FALSE),"")</f>
        <v>10050101</v>
      </c>
      <c r="C166" s="334" t="s">
        <v>482</v>
      </c>
      <c r="D166" s="274"/>
      <c r="E166" s="275"/>
      <c r="F166" s="628"/>
      <c r="G166" s="385" t="s">
        <v>1143</v>
      </c>
      <c r="H166" s="32" t="str">
        <f>+IF(I166=""," ",VLOOKUP(I166,Listas!$I$12:$J$14,2,FALSE))</f>
        <v xml:space="preserve"> </v>
      </c>
      <c r="I166" s="502"/>
      <c r="J166" s="356" t="str">
        <f>+IF(K166=""," ",VLOOKUP(K166,PUC!$B:$C,2,FALSE))</f>
        <v xml:space="preserve"> </v>
      </c>
      <c r="K166" s="342"/>
      <c r="L166" s="11" t="str">
        <f>+IF(M166=""," ",VLOOKUP(M166,Listas!$F$9:$G$17,2,FALSE))</f>
        <v xml:space="preserve"> </v>
      </c>
      <c r="M166" s="475"/>
      <c r="N166" s="345">
        <f t="shared" si="2"/>
        <v>0</v>
      </c>
      <c r="O166" s="15"/>
      <c r="P166" s="16"/>
      <c r="Q166" s="16"/>
      <c r="R166" s="16"/>
      <c r="S166" s="16"/>
      <c r="T166" s="16"/>
      <c r="U166" s="16"/>
      <c r="V166" s="16"/>
      <c r="W166" s="16"/>
      <c r="X166" s="16"/>
      <c r="Y166" s="16"/>
      <c r="Z166" s="17"/>
      <c r="AE166" s="345"/>
    </row>
    <row r="167" spans="1:31" s="59" customFormat="1" ht="51">
      <c r="A167" s="8"/>
      <c r="B167" s="11" t="str">
        <f>+IFERROR(VLOOKUP(C167,Listas!$L$8:$M$101,2,FALSE),"")</f>
        <v>10050101</v>
      </c>
      <c r="C167" s="334" t="s">
        <v>482</v>
      </c>
      <c r="D167" s="274"/>
      <c r="E167" s="275"/>
      <c r="F167" s="628"/>
      <c r="G167" s="385" t="s">
        <v>1144</v>
      </c>
      <c r="H167" s="32" t="str">
        <f>+IF(I167=""," ",VLOOKUP(I167,Listas!$I$12:$J$14,2,FALSE))</f>
        <v xml:space="preserve"> </v>
      </c>
      <c r="I167" s="502"/>
      <c r="J167" s="356" t="str">
        <f>+IF(K167=""," ",VLOOKUP(K167,PUC!$B:$C,2,FALSE))</f>
        <v xml:space="preserve"> </v>
      </c>
      <c r="K167" s="342"/>
      <c r="L167" s="11" t="str">
        <f>+IF(M167=""," ",VLOOKUP(M167,Listas!$F$9:$G$17,2,FALSE))</f>
        <v xml:space="preserve"> </v>
      </c>
      <c r="M167" s="475"/>
      <c r="N167" s="345">
        <f t="shared" si="2"/>
        <v>0</v>
      </c>
      <c r="O167" s="15"/>
      <c r="P167" s="16"/>
      <c r="Q167" s="16"/>
      <c r="R167" s="16"/>
      <c r="S167" s="16"/>
      <c r="T167" s="16"/>
      <c r="U167" s="16"/>
      <c r="V167" s="16"/>
      <c r="W167" s="16"/>
      <c r="X167" s="16"/>
      <c r="Y167" s="16"/>
      <c r="Z167" s="17"/>
      <c r="AE167" s="345"/>
    </row>
    <row r="168" spans="1:31" s="59" customFormat="1" ht="28.5" customHeight="1">
      <c r="A168" s="8"/>
      <c r="B168" s="11" t="str">
        <f>+IFERROR(VLOOKUP(C168,Listas!$L$8:$M$101,2,FALSE),"")</f>
        <v>10050101</v>
      </c>
      <c r="C168" s="334" t="s">
        <v>482</v>
      </c>
      <c r="D168" s="274"/>
      <c r="E168" s="275"/>
      <c r="F168" s="628"/>
      <c r="G168" s="385" t="s">
        <v>1372</v>
      </c>
      <c r="H168" s="32" t="str">
        <f>+IF(I168=""," ",VLOOKUP(I168,Listas!$I$12:$J$14,2,FALSE))</f>
        <v>05</v>
      </c>
      <c r="I168" s="502" t="s">
        <v>467</v>
      </c>
      <c r="J168" s="356">
        <f>+IF(K168=""," ",VLOOKUP(K168,PUC!$B:$C,2,FALSE))</f>
        <v>6210020505</v>
      </c>
      <c r="K168" s="342" t="s">
        <v>649</v>
      </c>
      <c r="L168" s="11" t="str">
        <f>+IF(M168=""," ",VLOOKUP(M168,Listas!$F$9:$G$17,2,FALSE))</f>
        <v>03</v>
      </c>
      <c r="M168" s="475" t="s">
        <v>446</v>
      </c>
      <c r="N168" s="345">
        <f t="shared" si="2"/>
        <v>725000</v>
      </c>
      <c r="O168" s="15"/>
      <c r="P168" s="16"/>
      <c r="Q168" s="16"/>
      <c r="R168" s="16"/>
      <c r="S168" s="16"/>
      <c r="T168" s="16"/>
      <c r="U168" s="16"/>
      <c r="V168" s="16"/>
      <c r="W168" s="16"/>
      <c r="X168" s="16"/>
      <c r="Y168" s="16"/>
      <c r="Z168" s="17"/>
      <c r="AA168" s="59">
        <v>25</v>
      </c>
      <c r="AE168" s="345">
        <f>+MROUND(138000*1.05*AA168,1000)</f>
        <v>3623000</v>
      </c>
    </row>
    <row r="169" spans="1:31" s="59" customFormat="1" ht="28.5" customHeight="1">
      <c r="A169" s="8"/>
      <c r="B169" s="11" t="str">
        <f>+IFERROR(VLOOKUP(C169,Listas!$L$8:$M$101,2,FALSE),"")</f>
        <v>10050101</v>
      </c>
      <c r="C169" s="334" t="s">
        <v>482</v>
      </c>
      <c r="D169" s="274"/>
      <c r="E169" s="275"/>
      <c r="F169" s="628"/>
      <c r="G169" s="385" t="s">
        <v>1372</v>
      </c>
      <c r="H169" s="32" t="str">
        <f>+IF(I169=""," ",VLOOKUP(I169,Listas!$I$12:$J$14,2,FALSE))</f>
        <v>05</v>
      </c>
      <c r="I169" s="502" t="s">
        <v>467</v>
      </c>
      <c r="J169" s="356">
        <f>+IF(K169=""," ",VLOOKUP(K169,PUC!$B:$C,2,FALSE))</f>
        <v>6210020503</v>
      </c>
      <c r="K169" s="342" t="s">
        <v>650</v>
      </c>
      <c r="L169" s="11" t="str">
        <f>+IF(M169=""," ",VLOOKUP(M169,Listas!$F$9:$G$17,2,FALSE))</f>
        <v>03</v>
      </c>
      <c r="M169" s="475" t="s">
        <v>446</v>
      </c>
      <c r="N169" s="345">
        <f t="shared" si="2"/>
        <v>1750000</v>
      </c>
      <c r="O169" s="15"/>
      <c r="P169" s="16"/>
      <c r="Q169" s="16"/>
      <c r="R169" s="16"/>
      <c r="S169" s="16"/>
      <c r="T169" s="16"/>
      <c r="U169" s="16"/>
      <c r="V169" s="16"/>
      <c r="W169" s="16"/>
      <c r="X169" s="16"/>
      <c r="Y169" s="16"/>
      <c r="Z169" s="17"/>
      <c r="AE169" s="345">
        <f>+MROUND(350000*AA168,1000)</f>
        <v>8750000</v>
      </c>
    </row>
    <row r="170" spans="1:31" s="59" customFormat="1" ht="33.75">
      <c r="A170" s="8"/>
      <c r="B170" s="11" t="str">
        <f>+IFERROR(VLOOKUP(C170,Listas!$L$8:$M$101,2,FALSE),"")</f>
        <v>10050101</v>
      </c>
      <c r="C170" s="334" t="s">
        <v>482</v>
      </c>
      <c r="D170" s="274"/>
      <c r="E170" s="275"/>
      <c r="F170" s="628"/>
      <c r="G170" s="385" t="s">
        <v>1372</v>
      </c>
      <c r="H170" s="32" t="str">
        <f>+IF(I170=""," ",VLOOKUP(I170,Listas!$I$12:$J$14,2,FALSE))</f>
        <v>05</v>
      </c>
      <c r="I170" s="502" t="s">
        <v>467</v>
      </c>
      <c r="J170" s="356">
        <f>+IF(K170=""," ",VLOOKUP(K170,PUC!$B:$C,2,FALSE))</f>
        <v>6210020501</v>
      </c>
      <c r="K170" s="342" t="s">
        <v>648</v>
      </c>
      <c r="L170" s="11" t="str">
        <f>+IF(M170=""," ",VLOOKUP(M170,Listas!$F$9:$G$17,2,FALSE))</f>
        <v>03</v>
      </c>
      <c r="M170" s="475" t="s">
        <v>446</v>
      </c>
      <c r="N170" s="345">
        <f t="shared" si="2"/>
        <v>7560000</v>
      </c>
      <c r="O170" s="15"/>
      <c r="P170" s="16"/>
      <c r="Q170" s="16"/>
      <c r="R170" s="16"/>
      <c r="S170" s="16"/>
      <c r="T170" s="16"/>
      <c r="U170" s="16"/>
      <c r="V170" s="16"/>
      <c r="W170" s="16"/>
      <c r="X170" s="16"/>
      <c r="Y170" s="16"/>
      <c r="Z170" s="17"/>
      <c r="AE170" s="345">
        <f>+MROUND(576000*1.05*2.5*AA168,1000)</f>
        <v>37800000</v>
      </c>
    </row>
    <row r="171" spans="1:31" s="59" customFormat="1" ht="25.5">
      <c r="A171" s="8"/>
      <c r="B171" s="11" t="str">
        <f>+IFERROR(VLOOKUP(C171,Listas!$L$8:$M$101,2,FALSE),"")</f>
        <v>10050101</v>
      </c>
      <c r="C171" s="334" t="s">
        <v>482</v>
      </c>
      <c r="D171" s="274"/>
      <c r="E171" s="275"/>
      <c r="F171" s="627" t="s">
        <v>1140</v>
      </c>
      <c r="G171" s="385" t="s">
        <v>1372</v>
      </c>
      <c r="H171" s="32" t="str">
        <f>+IF(I171=""," ",VLOOKUP(I171,Listas!$I$12:$J$14,2,FALSE))</f>
        <v>06</v>
      </c>
      <c r="I171" s="502" t="s">
        <v>468</v>
      </c>
      <c r="J171" s="356">
        <f>+IF(K171=""," ",VLOOKUP(K171,PUC!$B:$C,2,FALSE))</f>
        <v>6210100302</v>
      </c>
      <c r="K171" s="342" t="s">
        <v>941</v>
      </c>
      <c r="L171" s="11" t="str">
        <f>+IF(M171=""," ",VLOOKUP(M171,Listas!$F$9:$G$17,2,FALSE))</f>
        <v>03</v>
      </c>
      <c r="M171" s="475" t="s">
        <v>446</v>
      </c>
      <c r="N171" s="345">
        <f t="shared" si="2"/>
        <v>2250000</v>
      </c>
      <c r="O171" s="15"/>
      <c r="P171" s="16"/>
      <c r="Q171" s="16"/>
      <c r="R171" s="16"/>
      <c r="S171" s="16"/>
      <c r="T171" s="16"/>
      <c r="U171" s="16"/>
      <c r="V171" s="16"/>
      <c r="W171" s="16"/>
      <c r="X171" s="16"/>
      <c r="Y171" s="16"/>
      <c r="Z171" s="17"/>
      <c r="AE171" s="345">
        <f>450000*AA168</f>
        <v>11250000</v>
      </c>
    </row>
    <row r="172" spans="1:31" s="59" customFormat="1" ht="25.5">
      <c r="A172" s="8"/>
      <c r="B172" s="11" t="str">
        <f>+IFERROR(VLOOKUP(C172,Listas!$L$8:$M$101,2,FALSE),"")</f>
        <v>10050101</v>
      </c>
      <c r="C172" s="334" t="s">
        <v>482</v>
      </c>
      <c r="D172" s="274"/>
      <c r="E172" s="275"/>
      <c r="F172" s="628"/>
      <c r="G172" s="385"/>
      <c r="H172" s="32" t="str">
        <f>+IF(I172=""," ",VLOOKUP(I172,Listas!$I$12:$J$14,2,FALSE))</f>
        <v xml:space="preserve"> </v>
      </c>
      <c r="I172" s="502"/>
      <c r="J172" s="356" t="str">
        <f>+IF(K172=""," ",VLOOKUP(K172,PUC!$B:$C,2,FALSE))</f>
        <v xml:space="preserve"> </v>
      </c>
      <c r="K172" s="342"/>
      <c r="L172" s="11" t="str">
        <f>+IF(M172=""," ",VLOOKUP(M172,Listas!$F$9:$G$17,2,FALSE))</f>
        <v xml:space="preserve"> </v>
      </c>
      <c r="M172" s="475"/>
      <c r="N172" s="345">
        <f t="shared" si="2"/>
        <v>0</v>
      </c>
      <c r="O172" s="15"/>
      <c r="P172" s="16"/>
      <c r="Q172" s="16"/>
      <c r="R172" s="16"/>
      <c r="S172" s="16"/>
      <c r="T172" s="16"/>
      <c r="U172" s="16"/>
      <c r="V172" s="16"/>
      <c r="W172" s="16"/>
      <c r="X172" s="16"/>
      <c r="Y172" s="16"/>
      <c r="Z172" s="17"/>
      <c r="AE172" s="345"/>
    </row>
    <row r="173" spans="1:31" s="59" customFormat="1" ht="33.75">
      <c r="A173" s="8"/>
      <c r="B173" s="11" t="str">
        <f>+IFERROR(VLOOKUP(C173,Listas!$L$8:$M$101,2,FALSE),"")</f>
        <v>10050101</v>
      </c>
      <c r="C173" s="334" t="s">
        <v>482</v>
      </c>
      <c r="D173" s="274"/>
      <c r="E173" s="275"/>
      <c r="F173" s="628"/>
      <c r="G173" s="385" t="s">
        <v>1371</v>
      </c>
      <c r="H173" s="32" t="str">
        <f>+IF(I173=""," ",VLOOKUP(I173,Listas!$I$12:$J$14,2,FALSE))</f>
        <v>05</v>
      </c>
      <c r="I173" s="502" t="s">
        <v>467</v>
      </c>
      <c r="J173" s="356">
        <f>+IF(K173=""," ",VLOOKUP(K173,PUC!$B:$C,2,FALSE))</f>
        <v>6210020505</v>
      </c>
      <c r="K173" s="342" t="s">
        <v>649</v>
      </c>
      <c r="L173" s="11" t="str">
        <f>+IF(M173=""," ",VLOOKUP(M173,Listas!$F$9:$G$17,2,FALSE))</f>
        <v>03</v>
      </c>
      <c r="M173" s="475" t="s">
        <v>446</v>
      </c>
      <c r="N173" s="345">
        <f t="shared" si="2"/>
        <v>869000</v>
      </c>
      <c r="O173" s="15"/>
      <c r="P173" s="16"/>
      <c r="Q173" s="16"/>
      <c r="R173" s="16"/>
      <c r="S173" s="16"/>
      <c r="T173" s="16"/>
      <c r="U173" s="16"/>
      <c r="V173" s="16"/>
      <c r="W173" s="16"/>
      <c r="X173" s="16"/>
      <c r="Y173" s="16"/>
      <c r="Z173" s="17"/>
      <c r="AA173" s="59">
        <v>30</v>
      </c>
      <c r="AE173" s="345">
        <f>+MROUND(138000*1.05*AA173,1000)</f>
        <v>4347000</v>
      </c>
    </row>
    <row r="174" spans="1:31" s="59" customFormat="1" ht="33.75">
      <c r="A174" s="8"/>
      <c r="B174" s="11" t="str">
        <f>+IFERROR(VLOOKUP(C174,Listas!$L$8:$M$101,2,FALSE),"")</f>
        <v>10050101</v>
      </c>
      <c r="C174" s="334" t="s">
        <v>482</v>
      </c>
      <c r="D174" s="274"/>
      <c r="E174" s="275"/>
      <c r="F174" s="628"/>
      <c r="G174" s="385" t="s">
        <v>1371</v>
      </c>
      <c r="H174" s="32" t="str">
        <f>+IF(I174=""," ",VLOOKUP(I174,Listas!$I$12:$J$14,2,FALSE))</f>
        <v>05</v>
      </c>
      <c r="I174" s="502" t="s">
        <v>467</v>
      </c>
      <c r="J174" s="356">
        <f>+IF(K174=""," ",VLOOKUP(K174,PUC!$B:$C,2,FALSE))</f>
        <v>6210020503</v>
      </c>
      <c r="K174" s="342" t="s">
        <v>650</v>
      </c>
      <c r="L174" s="11" t="str">
        <f>+IF(M174=""," ",VLOOKUP(M174,Listas!$F$9:$G$17,2,FALSE))</f>
        <v>03</v>
      </c>
      <c r="M174" s="475" t="s">
        <v>446</v>
      </c>
      <c r="N174" s="345">
        <f t="shared" si="2"/>
        <v>2400000</v>
      </c>
      <c r="O174" s="15"/>
      <c r="P174" s="16"/>
      <c r="Q174" s="16"/>
      <c r="R174" s="16"/>
      <c r="S174" s="16"/>
      <c r="T174" s="16"/>
      <c r="U174" s="16"/>
      <c r="V174" s="16"/>
      <c r="W174" s="16"/>
      <c r="X174" s="16"/>
      <c r="Y174" s="16"/>
      <c r="Z174" s="17"/>
      <c r="AE174" s="345">
        <f>+MROUND(400000*AA173,1000)</f>
        <v>12000000</v>
      </c>
    </row>
    <row r="175" spans="1:31" s="59" customFormat="1" ht="33.75">
      <c r="A175" s="8"/>
      <c r="B175" s="11" t="str">
        <f>+IFERROR(VLOOKUP(C175,Listas!$L$8:$M$101,2,FALSE),"")</f>
        <v>10050101</v>
      </c>
      <c r="C175" s="334" t="s">
        <v>482</v>
      </c>
      <c r="D175" s="274"/>
      <c r="E175" s="275"/>
      <c r="F175" s="628"/>
      <c r="G175" s="385" t="s">
        <v>1371</v>
      </c>
      <c r="H175" s="32" t="str">
        <f>+IF(I175=""," ",VLOOKUP(I175,Listas!$I$12:$J$14,2,FALSE))</f>
        <v>05</v>
      </c>
      <c r="I175" s="502" t="s">
        <v>467</v>
      </c>
      <c r="J175" s="356">
        <f>+IF(K175=""," ",VLOOKUP(K175,PUC!$B:$C,2,FALSE))</f>
        <v>6210020501</v>
      </c>
      <c r="K175" s="342" t="s">
        <v>648</v>
      </c>
      <c r="L175" s="11" t="str">
        <f>+IF(M175=""," ",VLOOKUP(M175,Listas!$F$9:$G$17,2,FALSE))</f>
        <v>03</v>
      </c>
      <c r="M175" s="475" t="s">
        <v>446</v>
      </c>
      <c r="N175" s="345">
        <f t="shared" si="2"/>
        <v>9072000</v>
      </c>
      <c r="O175" s="15"/>
      <c r="P175" s="16"/>
      <c r="Q175" s="16"/>
      <c r="R175" s="16"/>
      <c r="S175" s="16"/>
      <c r="T175" s="16"/>
      <c r="U175" s="16"/>
      <c r="V175" s="16"/>
      <c r="W175" s="16"/>
      <c r="X175" s="16"/>
      <c r="Y175" s="16"/>
      <c r="Z175" s="17"/>
      <c r="AE175" s="345">
        <f>+MROUND(576000*1.05*2.5*AA173,1000)</f>
        <v>45360000</v>
      </c>
    </row>
    <row r="176" spans="1:31" s="59" customFormat="1" ht="38.25">
      <c r="A176" s="8"/>
      <c r="B176" s="11" t="str">
        <f>+IFERROR(VLOOKUP(C176,Listas!$L$8:$M$101,2,FALSE),"")</f>
        <v>10050101</v>
      </c>
      <c r="C176" s="334" t="s">
        <v>482</v>
      </c>
      <c r="D176" s="274"/>
      <c r="E176" s="275"/>
      <c r="F176" s="628"/>
      <c r="G176" s="385" t="s">
        <v>1371</v>
      </c>
      <c r="H176" s="32" t="str">
        <f>+IF(I176=""," ",VLOOKUP(I176,Listas!$I$12:$J$14,2,FALSE))</f>
        <v>06</v>
      </c>
      <c r="I176" s="502" t="s">
        <v>468</v>
      </c>
      <c r="J176" s="356">
        <f>+IF(K176=""," ",VLOOKUP(K176,PUC!$B:$C,2,FALSE))</f>
        <v>6210022101</v>
      </c>
      <c r="K176" s="342" t="s">
        <v>942</v>
      </c>
      <c r="L176" s="11" t="str">
        <f>+IF(M176=""," ",VLOOKUP(M176,Listas!$F$9:$G$17,2,FALSE))</f>
        <v>03</v>
      </c>
      <c r="M176" s="475" t="s">
        <v>446</v>
      </c>
      <c r="N176" s="345">
        <f t="shared" si="2"/>
        <v>1200000</v>
      </c>
      <c r="O176" s="15"/>
      <c r="P176" s="16"/>
      <c r="Q176" s="16"/>
      <c r="R176" s="16"/>
      <c r="S176" s="16"/>
      <c r="T176" s="16"/>
      <c r="U176" s="16"/>
      <c r="V176" s="16"/>
      <c r="W176" s="16"/>
      <c r="X176" s="16"/>
      <c r="Y176" s="16"/>
      <c r="Z176" s="17"/>
      <c r="AE176" s="345">
        <f>200000*AA173</f>
        <v>6000000</v>
      </c>
    </row>
    <row r="177" spans="1:31" s="59" customFormat="1" ht="25.5">
      <c r="A177" s="8"/>
      <c r="B177" s="11" t="str">
        <f>+IFERROR(VLOOKUP(C177,Listas!$L$8:$M$101,2,FALSE),"")</f>
        <v>10050101</v>
      </c>
      <c r="C177" s="334" t="s">
        <v>482</v>
      </c>
      <c r="D177" s="274"/>
      <c r="E177" s="275"/>
      <c r="F177" s="628"/>
      <c r="G177" s="385"/>
      <c r="H177" s="32" t="str">
        <f>+IF(I177=""," ",VLOOKUP(I177,Listas!$I$12:$J$14,2,FALSE))</f>
        <v xml:space="preserve"> </v>
      </c>
      <c r="I177" s="502"/>
      <c r="J177" s="356" t="str">
        <f>+IF(K177=""," ",VLOOKUP(K177,PUC!$B:$C,2,FALSE))</f>
        <v xml:space="preserve"> </v>
      </c>
      <c r="K177" s="342"/>
      <c r="L177" s="11" t="str">
        <f>+IF(M177=""," ",VLOOKUP(M177,Listas!$F$9:$G$17,2,FALSE))</f>
        <v xml:space="preserve"> </v>
      </c>
      <c r="M177" s="475"/>
      <c r="N177" s="345">
        <f t="shared" si="2"/>
        <v>0</v>
      </c>
      <c r="O177" s="15"/>
      <c r="P177" s="16"/>
      <c r="Q177" s="16"/>
      <c r="R177" s="16"/>
      <c r="S177" s="16"/>
      <c r="T177" s="16"/>
      <c r="U177" s="16"/>
      <c r="V177" s="16"/>
      <c r="W177" s="16"/>
      <c r="X177" s="16"/>
      <c r="Y177" s="16"/>
      <c r="Z177" s="17"/>
      <c r="AE177" s="345"/>
    </row>
    <row r="178" spans="1:31" s="59" customFormat="1" ht="25.5" customHeight="1">
      <c r="A178" s="8"/>
      <c r="B178" s="11" t="str">
        <f>+IFERROR(VLOOKUP(C178,Listas!$L$8:$M$101,2,FALSE),"")</f>
        <v>10050101</v>
      </c>
      <c r="C178" s="334" t="s">
        <v>482</v>
      </c>
      <c r="D178" s="274"/>
      <c r="E178" s="275"/>
      <c r="F178" s="627" t="s">
        <v>1140</v>
      </c>
      <c r="G178" s="385" t="s">
        <v>1334</v>
      </c>
      <c r="H178" s="32" t="str">
        <f>+IF(I178=""," ",VLOOKUP(I178,Listas!$I$12:$J$14,2,FALSE))</f>
        <v>06</v>
      </c>
      <c r="I178" s="502" t="s">
        <v>468</v>
      </c>
      <c r="J178" s="356">
        <f>+IF(K178=""," ",VLOOKUP(K178,PUC!$B:$C,2,FALSE))</f>
        <v>6210020504</v>
      </c>
      <c r="K178" s="342" t="s">
        <v>948</v>
      </c>
      <c r="L178" s="11" t="str">
        <f>+IF(M178=""," ",VLOOKUP(M178,Listas!$F$9:$G$17,2,FALSE))</f>
        <v>03</v>
      </c>
      <c r="M178" s="475" t="s">
        <v>446</v>
      </c>
      <c r="N178" s="345">
        <f t="shared" si="2"/>
        <v>3000000</v>
      </c>
      <c r="O178" s="15"/>
      <c r="P178" s="16"/>
      <c r="Q178" s="16"/>
      <c r="R178" s="16"/>
      <c r="S178" s="16"/>
      <c r="T178" s="16"/>
      <c r="U178" s="16"/>
      <c r="V178" s="16"/>
      <c r="W178" s="16"/>
      <c r="X178" s="16"/>
      <c r="Y178" s="16"/>
      <c r="Z178" s="17"/>
      <c r="AA178" s="59">
        <v>5</v>
      </c>
      <c r="AE178" s="345">
        <f>3000000*AA178</f>
        <v>15000000</v>
      </c>
    </row>
    <row r="179" spans="1:31" s="59" customFormat="1" ht="25.5">
      <c r="A179" s="8"/>
      <c r="B179" s="11" t="str">
        <f>+IFERROR(VLOOKUP(C179,Listas!$L$8:$M$101,2,FALSE),"")</f>
        <v>10050101</v>
      </c>
      <c r="C179" s="334" t="s">
        <v>482</v>
      </c>
      <c r="D179" s="274"/>
      <c r="E179" s="275"/>
      <c r="F179" s="628"/>
      <c r="G179" s="385" t="s">
        <v>1334</v>
      </c>
      <c r="H179" s="32" t="str">
        <f>+IF(I179=""," ",VLOOKUP(I179,Listas!$I$12:$J$14,2,FALSE))</f>
        <v>06</v>
      </c>
      <c r="I179" s="502" t="s">
        <v>468</v>
      </c>
      <c r="J179" s="356">
        <f>+IF(K179=""," ",VLOOKUP(K179,PUC!$B:$C,2,FALSE))</f>
        <v>6210020502</v>
      </c>
      <c r="K179" s="342" t="s">
        <v>939</v>
      </c>
      <c r="L179" s="11" t="str">
        <f>+IF(M179=""," ",VLOOKUP(M179,Listas!$F$9:$G$17,2,FALSE))</f>
        <v>03</v>
      </c>
      <c r="M179" s="475" t="s">
        <v>446</v>
      </c>
      <c r="N179" s="345">
        <f t="shared" si="2"/>
        <v>2970000</v>
      </c>
      <c r="O179" s="15"/>
      <c r="P179" s="16"/>
      <c r="Q179" s="16"/>
      <c r="R179" s="16"/>
      <c r="S179" s="16"/>
      <c r="T179" s="16"/>
      <c r="U179" s="16"/>
      <c r="V179" s="16"/>
      <c r="W179" s="16"/>
      <c r="X179" s="16"/>
      <c r="Y179" s="16"/>
      <c r="Z179" s="17"/>
      <c r="AE179" s="345">
        <f>+MROUND(300*3300*3*AA178,1000)</f>
        <v>14850000</v>
      </c>
    </row>
    <row r="180" spans="1:31" s="59" customFormat="1" ht="25.5">
      <c r="A180" s="8"/>
      <c r="B180" s="11" t="str">
        <f>+IFERROR(VLOOKUP(C180,Listas!$L$8:$M$101,2,FALSE),"")</f>
        <v>10050101</v>
      </c>
      <c r="C180" s="334" t="s">
        <v>482</v>
      </c>
      <c r="D180" s="274"/>
      <c r="E180" s="275"/>
      <c r="F180" s="628"/>
      <c r="G180" s="385" t="s">
        <v>1334</v>
      </c>
      <c r="H180" s="32" t="str">
        <f>+IF(I180=""," ",VLOOKUP(I180,Listas!$I$12:$J$14,2,FALSE))</f>
        <v>06</v>
      </c>
      <c r="I180" s="502" t="s">
        <v>468</v>
      </c>
      <c r="J180" s="356">
        <f>+IF(K180=""," ",VLOOKUP(K180,PUC!$B:$C,2,FALSE))</f>
        <v>6210100302</v>
      </c>
      <c r="K180" s="342" t="s">
        <v>941</v>
      </c>
      <c r="L180" s="11" t="str">
        <f>+IF(M180=""," ",VLOOKUP(M180,Listas!$F$9:$G$17,2,FALSE))</f>
        <v>03</v>
      </c>
      <c r="M180" s="475" t="s">
        <v>446</v>
      </c>
      <c r="N180" s="345">
        <f t="shared" si="2"/>
        <v>800000</v>
      </c>
      <c r="O180" s="15"/>
      <c r="P180" s="16"/>
      <c r="Q180" s="16"/>
      <c r="R180" s="16"/>
      <c r="S180" s="16"/>
      <c r="T180" s="16"/>
      <c r="U180" s="16"/>
      <c r="V180" s="16"/>
      <c r="W180" s="16"/>
      <c r="X180" s="16"/>
      <c r="Y180" s="16"/>
      <c r="Z180" s="17"/>
      <c r="AE180" s="345">
        <f>+MROUND(800000*AA178,1000)</f>
        <v>4000000</v>
      </c>
    </row>
    <row r="181" spans="1:31" s="59" customFormat="1" ht="25.5">
      <c r="A181" s="8"/>
      <c r="B181" s="11" t="str">
        <f>+IFERROR(VLOOKUP(C181,Listas!$L$8:$M$101,2,FALSE),"")</f>
        <v>10050101</v>
      </c>
      <c r="C181" s="334" t="s">
        <v>482</v>
      </c>
      <c r="D181" s="274"/>
      <c r="E181" s="275"/>
      <c r="F181" s="628"/>
      <c r="G181" s="385"/>
      <c r="H181" s="32" t="str">
        <f>+IF(I181=""," ",VLOOKUP(I181,Listas!$I$12:$J$14,2,FALSE))</f>
        <v xml:space="preserve"> </v>
      </c>
      <c r="I181" s="502"/>
      <c r="J181" s="356" t="str">
        <f>+IF(K181=""," ",VLOOKUP(K181,PUC!$B:$C,2,FALSE))</f>
        <v xml:space="preserve"> </v>
      </c>
      <c r="K181" s="342"/>
      <c r="L181" s="11" t="str">
        <f>+IF(M181=""," ",VLOOKUP(M181,Listas!$F$9:$G$17,2,FALSE))</f>
        <v xml:space="preserve"> </v>
      </c>
      <c r="M181" s="475"/>
      <c r="N181" s="345">
        <f t="shared" si="2"/>
        <v>0</v>
      </c>
      <c r="O181" s="15"/>
      <c r="P181" s="16"/>
      <c r="Q181" s="16"/>
      <c r="R181" s="16"/>
      <c r="S181" s="16"/>
      <c r="T181" s="16"/>
      <c r="U181" s="16"/>
      <c r="V181" s="16"/>
      <c r="W181" s="16"/>
      <c r="X181" s="16"/>
      <c r="Y181" s="16"/>
      <c r="Z181" s="17"/>
      <c r="AE181" s="345"/>
    </row>
    <row r="182" spans="1:31" s="59" customFormat="1" ht="25.5">
      <c r="A182" s="8"/>
      <c r="B182" s="11" t="str">
        <f>+IFERROR(VLOOKUP(C182,Listas!$L$8:$M$101,2,FALSE),"")</f>
        <v>10050101</v>
      </c>
      <c r="C182" s="334" t="s">
        <v>482</v>
      </c>
      <c r="D182" s="274"/>
      <c r="E182" s="275"/>
      <c r="F182" s="628"/>
      <c r="G182" s="385" t="s">
        <v>1157</v>
      </c>
      <c r="H182" s="32" t="str">
        <f>+IF(I182=""," ",VLOOKUP(I182,Listas!$I$12:$J$14,2,FALSE))</f>
        <v>06</v>
      </c>
      <c r="I182" s="502" t="s">
        <v>468</v>
      </c>
      <c r="J182" s="356">
        <f>+IF(K182=""," ",VLOOKUP(K182,PUC!$B:$C,2,FALSE))</f>
        <v>6210020504</v>
      </c>
      <c r="K182" s="342" t="s">
        <v>948</v>
      </c>
      <c r="L182" s="11" t="str">
        <f>+IF(M182=""," ",VLOOKUP(M182,Listas!$F$9:$G$17,2,FALSE))</f>
        <v>03</v>
      </c>
      <c r="M182" s="475" t="s">
        <v>446</v>
      </c>
      <c r="N182" s="345">
        <f t="shared" si="2"/>
        <v>600000</v>
      </c>
      <c r="O182" s="15"/>
      <c r="P182" s="16"/>
      <c r="Q182" s="16"/>
      <c r="R182" s="16"/>
      <c r="S182" s="16"/>
      <c r="T182" s="16"/>
      <c r="U182" s="16"/>
      <c r="V182" s="16"/>
      <c r="W182" s="16"/>
      <c r="X182" s="16"/>
      <c r="Y182" s="16"/>
      <c r="Z182" s="17"/>
      <c r="AA182" s="59">
        <v>1</v>
      </c>
      <c r="AE182" s="345">
        <f>3000000*AA182</f>
        <v>3000000</v>
      </c>
    </row>
    <row r="183" spans="1:31" s="59" customFormat="1" ht="25.5">
      <c r="A183" s="8"/>
      <c r="B183" s="11" t="str">
        <f>+IFERROR(VLOOKUP(C183,Listas!$L$8:$M$101,2,FALSE),"")</f>
        <v>10050101</v>
      </c>
      <c r="C183" s="334" t="s">
        <v>482</v>
      </c>
      <c r="D183" s="274"/>
      <c r="E183" s="275"/>
      <c r="F183" s="628"/>
      <c r="G183" s="385" t="s">
        <v>1157</v>
      </c>
      <c r="H183" s="32" t="str">
        <f>+IF(I183=""," ",VLOOKUP(I183,Listas!$I$12:$J$14,2,FALSE))</f>
        <v>06</v>
      </c>
      <c r="I183" s="502" t="s">
        <v>468</v>
      </c>
      <c r="J183" s="356">
        <f>+IF(K183=""," ",VLOOKUP(K183,PUC!$B:$C,2,FALSE))</f>
        <v>6210020502</v>
      </c>
      <c r="K183" s="342" t="s">
        <v>939</v>
      </c>
      <c r="L183" s="11" t="str">
        <f>+IF(M183=""," ",VLOOKUP(M183,Listas!$F$9:$G$17,2,FALSE))</f>
        <v>03</v>
      </c>
      <c r="M183" s="475" t="s">
        <v>446</v>
      </c>
      <c r="N183" s="345">
        <f t="shared" si="2"/>
        <v>337000</v>
      </c>
      <c r="O183" s="15"/>
      <c r="P183" s="16"/>
      <c r="Q183" s="16"/>
      <c r="R183" s="16"/>
      <c r="S183" s="16"/>
      <c r="T183" s="16"/>
      <c r="U183" s="16"/>
      <c r="V183" s="16"/>
      <c r="W183" s="16"/>
      <c r="X183" s="16"/>
      <c r="Y183" s="16"/>
      <c r="Z183" s="17"/>
      <c r="AE183" s="345">
        <f>+MROUND(170*3300*3*AA182,1000)</f>
        <v>1683000</v>
      </c>
    </row>
    <row r="184" spans="1:31" s="59" customFormat="1" ht="38.25">
      <c r="A184" s="8"/>
      <c r="B184" s="11" t="str">
        <f>+IFERROR(VLOOKUP(C184,Listas!$L$8:$M$101,2,FALSE),"")</f>
        <v>10050101</v>
      </c>
      <c r="C184" s="334" t="s">
        <v>482</v>
      </c>
      <c r="D184" s="274"/>
      <c r="E184" s="275"/>
      <c r="F184" s="628"/>
      <c r="G184" s="385" t="s">
        <v>1157</v>
      </c>
      <c r="H184" s="32" t="str">
        <f>+IF(I184=""," ",VLOOKUP(I184,Listas!$I$12:$J$14,2,FALSE))</f>
        <v>06</v>
      </c>
      <c r="I184" s="502" t="s">
        <v>468</v>
      </c>
      <c r="J184" s="356">
        <f>+IF(K184=""," ",VLOOKUP(K184,PUC!$B:$C,2,FALSE))</f>
        <v>6210022101</v>
      </c>
      <c r="K184" s="342" t="s">
        <v>942</v>
      </c>
      <c r="L184" s="11" t="str">
        <f>+IF(M184=""," ",VLOOKUP(M184,Listas!$F$9:$G$17,2,FALSE))</f>
        <v>03</v>
      </c>
      <c r="M184" s="475" t="s">
        <v>446</v>
      </c>
      <c r="N184" s="345">
        <f t="shared" si="2"/>
        <v>160000</v>
      </c>
      <c r="O184" s="15"/>
      <c r="P184" s="16"/>
      <c r="Q184" s="16"/>
      <c r="R184" s="16"/>
      <c r="S184" s="16"/>
      <c r="T184" s="16"/>
      <c r="U184" s="16"/>
      <c r="V184" s="16"/>
      <c r="W184" s="16"/>
      <c r="X184" s="16"/>
      <c r="Y184" s="16"/>
      <c r="Z184" s="17"/>
      <c r="AE184" s="345">
        <f>+MROUND(800000*AA182,1000)</f>
        <v>800000</v>
      </c>
    </row>
    <row r="185" spans="1:31" s="59" customFormat="1" ht="25.5">
      <c r="A185" s="8"/>
      <c r="B185" s="11" t="str">
        <f>+IFERROR(VLOOKUP(C185,Listas!$L$8:$M$101,2,FALSE),"")</f>
        <v>10050101</v>
      </c>
      <c r="C185" s="334" t="s">
        <v>482</v>
      </c>
      <c r="D185" s="274"/>
      <c r="E185" s="275"/>
      <c r="F185" s="628"/>
      <c r="G185" s="385"/>
      <c r="H185" s="32" t="str">
        <f>+IF(I185=""," ",VLOOKUP(I185,Listas!$I$12:$J$14,2,FALSE))</f>
        <v xml:space="preserve"> </v>
      </c>
      <c r="I185" s="502"/>
      <c r="J185" s="356" t="str">
        <f>+IF(K185=""," ",VLOOKUP(K185,PUC!$B:$C,2,FALSE))</f>
        <v xml:space="preserve"> </v>
      </c>
      <c r="K185" s="342"/>
      <c r="L185" s="11" t="str">
        <f>+IF(M185=""," ",VLOOKUP(M185,Listas!$F$9:$G$17,2,FALSE))</f>
        <v xml:space="preserve"> </v>
      </c>
      <c r="M185" s="475"/>
      <c r="N185" s="345">
        <f t="shared" si="2"/>
        <v>0</v>
      </c>
      <c r="O185" s="15"/>
      <c r="P185" s="16"/>
      <c r="Q185" s="16"/>
      <c r="R185" s="16"/>
      <c r="S185" s="16"/>
      <c r="T185" s="16"/>
      <c r="U185" s="16"/>
      <c r="V185" s="16"/>
      <c r="W185" s="16"/>
      <c r="X185" s="16"/>
      <c r="Y185" s="16"/>
      <c r="Z185" s="17"/>
      <c r="AE185" s="345"/>
    </row>
    <row r="186" spans="1:31" s="59" customFormat="1" ht="29.25" customHeight="1">
      <c r="A186" s="8"/>
      <c r="B186" s="11" t="str">
        <f>+IFERROR(VLOOKUP(C186,Listas!$L$8:$M$101,2,FALSE),"")</f>
        <v>10050101</v>
      </c>
      <c r="C186" s="334" t="s">
        <v>482</v>
      </c>
      <c r="D186" s="274"/>
      <c r="E186" s="275"/>
      <c r="F186" s="628"/>
      <c r="G186" s="387" t="s">
        <v>1145</v>
      </c>
      <c r="H186" s="388" t="str">
        <f>+IF(I186=""," ",VLOOKUP(I186,Listas!$I$12:$J$14,2,FALSE))</f>
        <v>06</v>
      </c>
      <c r="I186" s="503" t="s">
        <v>468</v>
      </c>
      <c r="J186" s="378">
        <f>+IF(K186=""," ",VLOOKUP(K186,PUC!$B:$C,2,FALSE))</f>
        <v>6210021103</v>
      </c>
      <c r="K186" s="389" t="s">
        <v>950</v>
      </c>
      <c r="L186" s="380" t="str">
        <f>+IF(M186=""," ",VLOOKUP(M186,Listas!$F$9:$G$17,2,FALSE))</f>
        <v>03</v>
      </c>
      <c r="M186" s="478" t="s">
        <v>446</v>
      </c>
      <c r="N186" s="381">
        <f t="shared" si="2"/>
        <v>100000</v>
      </c>
      <c r="O186" s="15"/>
      <c r="P186" s="16"/>
      <c r="Q186" s="16"/>
      <c r="R186" s="16"/>
      <c r="S186" s="16"/>
      <c r="T186" s="16"/>
      <c r="U186" s="16"/>
      <c r="V186" s="16"/>
      <c r="W186" s="16"/>
      <c r="X186" s="16"/>
      <c r="Y186" s="16"/>
      <c r="Z186" s="17"/>
      <c r="AE186" s="381">
        <v>500000</v>
      </c>
    </row>
    <row r="187" spans="1:31" s="59" customFormat="1" ht="33.75">
      <c r="A187" s="8"/>
      <c r="B187" s="11" t="str">
        <f>+IFERROR(VLOOKUP(C187,Listas!$L$8:$M$101,2,FALSE),"")</f>
        <v>10050101</v>
      </c>
      <c r="C187" s="334" t="s">
        <v>482</v>
      </c>
      <c r="D187" s="274"/>
      <c r="E187" s="275"/>
      <c r="F187" s="629"/>
      <c r="G187" s="387" t="s">
        <v>1146</v>
      </c>
      <c r="H187" s="32" t="str">
        <f>+IF(I187=""," ",VLOOKUP(I187,Listas!$I$12:$J$14,2,FALSE))</f>
        <v>05</v>
      </c>
      <c r="I187" s="502" t="s">
        <v>467</v>
      </c>
      <c r="J187" s="356">
        <f>+IF(K187=""," ",VLOOKUP(K187,PUC!$B:$C,2,FALSE))</f>
        <v>6210021401</v>
      </c>
      <c r="K187" s="342" t="s">
        <v>712</v>
      </c>
      <c r="L187" s="11" t="str">
        <f>+IF(M187=""," ",VLOOKUP(M187,Listas!$F$9:$G$17,2,FALSE))</f>
        <v>03</v>
      </c>
      <c r="M187" s="475" t="s">
        <v>446</v>
      </c>
      <c r="N187" s="345">
        <f t="shared" si="2"/>
        <v>120000</v>
      </c>
      <c r="O187" s="15"/>
      <c r="P187" s="16"/>
      <c r="Q187" s="16"/>
      <c r="R187" s="16"/>
      <c r="S187" s="16"/>
      <c r="T187" s="16"/>
      <c r="U187" s="16"/>
      <c r="V187" s="16"/>
      <c r="W187" s="16"/>
      <c r="X187" s="16"/>
      <c r="Y187" s="16"/>
      <c r="Z187" s="17"/>
      <c r="AE187" s="345">
        <v>600000</v>
      </c>
    </row>
    <row r="188" spans="1:31" s="59" customFormat="1" ht="38.25">
      <c r="A188" s="8"/>
      <c r="B188" s="11" t="str">
        <f>+IFERROR(VLOOKUP(C188,Listas!$L$8:$M$101,2,FALSE),"")</f>
        <v>10050101</v>
      </c>
      <c r="C188" s="334" t="s">
        <v>482</v>
      </c>
      <c r="D188" s="274"/>
      <c r="E188" s="275"/>
      <c r="F188" s="634" t="s">
        <v>1147</v>
      </c>
      <c r="G188" s="385" t="s">
        <v>1148</v>
      </c>
      <c r="H188" s="32" t="str">
        <f>+IF(I188=""," ",VLOOKUP(I188,Listas!$I$12:$J$14,2,FALSE))</f>
        <v xml:space="preserve"> </v>
      </c>
      <c r="I188" s="502"/>
      <c r="J188" s="356" t="str">
        <f>+IF(K188=""," ",VLOOKUP(K188,PUC!$B:$C,2,FALSE))</f>
        <v xml:space="preserve"> </v>
      </c>
      <c r="K188" s="342"/>
      <c r="L188" s="11" t="str">
        <f>+IF(M188=""," ",VLOOKUP(M188,Listas!$F$9:$G$17,2,FALSE))</f>
        <v xml:space="preserve"> </v>
      </c>
      <c r="M188" s="475"/>
      <c r="N188" s="345">
        <f t="shared" si="2"/>
        <v>0</v>
      </c>
      <c r="O188" s="15"/>
      <c r="P188" s="16"/>
      <c r="Q188" s="16"/>
      <c r="R188" s="16"/>
      <c r="S188" s="16"/>
      <c r="T188" s="16"/>
      <c r="U188" s="16"/>
      <c r="V188" s="16"/>
      <c r="W188" s="16"/>
      <c r="X188" s="16"/>
      <c r="Y188" s="16"/>
      <c r="Z188" s="17"/>
      <c r="AE188" s="345"/>
    </row>
    <row r="189" spans="1:31" s="59" customFormat="1" ht="38.25">
      <c r="A189" s="8"/>
      <c r="B189" s="11" t="str">
        <f>+IFERROR(VLOOKUP(C189,Listas!$L$8:$M$101,2,FALSE),"")</f>
        <v>10050101</v>
      </c>
      <c r="C189" s="334" t="s">
        <v>482</v>
      </c>
      <c r="D189" s="274"/>
      <c r="E189" s="275"/>
      <c r="F189" s="635"/>
      <c r="G189" s="385" t="s">
        <v>1149</v>
      </c>
      <c r="H189" s="32" t="str">
        <f>+IF(I189=""," ",VLOOKUP(I189,Listas!$I$12:$J$14,2,FALSE))</f>
        <v xml:space="preserve"> </v>
      </c>
      <c r="I189" s="502"/>
      <c r="J189" s="356" t="str">
        <f>+IF(K189=""," ",VLOOKUP(K189,PUC!$B:$C,2,FALSE))</f>
        <v xml:space="preserve"> </v>
      </c>
      <c r="K189" s="342"/>
      <c r="L189" s="11" t="str">
        <f>+IF(M189=""," ",VLOOKUP(M189,Listas!$F$9:$G$17,2,FALSE))</f>
        <v xml:space="preserve"> </v>
      </c>
      <c r="M189" s="475"/>
      <c r="N189" s="345">
        <f t="shared" si="2"/>
        <v>0</v>
      </c>
      <c r="O189" s="15"/>
      <c r="P189" s="16"/>
      <c r="Q189" s="16"/>
      <c r="R189" s="16"/>
      <c r="S189" s="16"/>
      <c r="T189" s="16"/>
      <c r="U189" s="16"/>
      <c r="V189" s="16"/>
      <c r="W189" s="16"/>
      <c r="X189" s="16"/>
      <c r="Y189" s="16"/>
      <c r="Z189" s="17"/>
      <c r="AE189" s="345"/>
    </row>
    <row r="190" spans="1:31" s="59" customFormat="1" ht="25.5">
      <c r="A190" s="8"/>
      <c r="B190" s="11" t="str">
        <f>+IFERROR(VLOOKUP(C190,Listas!$L$8:$M$101,2,FALSE),"")</f>
        <v>10050101</v>
      </c>
      <c r="C190" s="334" t="s">
        <v>482</v>
      </c>
      <c r="D190" s="274"/>
      <c r="E190" s="275"/>
      <c r="F190" s="627" t="s">
        <v>1150</v>
      </c>
      <c r="G190" s="385" t="s">
        <v>1151</v>
      </c>
      <c r="H190" s="32" t="str">
        <f>+IF(I190=""," ",VLOOKUP(I190,Listas!$I$12:$J$14,2,FALSE))</f>
        <v xml:space="preserve"> </v>
      </c>
      <c r="I190" s="502"/>
      <c r="J190" s="356" t="str">
        <f>+IF(K190=""," ",VLOOKUP(K190,PUC!$B:$C,2,FALSE))</f>
        <v xml:space="preserve"> </v>
      </c>
      <c r="K190" s="342"/>
      <c r="L190" s="11" t="str">
        <f>+IF(M190=""," ",VLOOKUP(M190,Listas!$F$9:$G$17,2,FALSE))</f>
        <v xml:space="preserve"> </v>
      </c>
      <c r="M190" s="475"/>
      <c r="N190" s="345">
        <f t="shared" si="2"/>
        <v>0</v>
      </c>
      <c r="O190" s="15"/>
      <c r="P190" s="16"/>
      <c r="Q190" s="16"/>
      <c r="R190" s="16"/>
      <c r="S190" s="16"/>
      <c r="T190" s="16"/>
      <c r="U190" s="16"/>
      <c r="V190" s="16"/>
      <c r="W190" s="16"/>
      <c r="X190" s="16"/>
      <c r="Y190" s="16"/>
      <c r="Z190" s="17"/>
      <c r="AE190" s="345"/>
    </row>
    <row r="191" spans="1:31" s="59" customFormat="1" ht="33.75">
      <c r="A191" s="8"/>
      <c r="B191" s="11" t="str">
        <f>+IFERROR(VLOOKUP(C191,Listas!$L$8:$M$101,2,FALSE),"")</f>
        <v>10050101</v>
      </c>
      <c r="C191" s="334" t="s">
        <v>482</v>
      </c>
      <c r="D191" s="274"/>
      <c r="E191" s="275"/>
      <c r="F191" s="628"/>
      <c r="G191" s="385" t="s">
        <v>1158</v>
      </c>
      <c r="H191" s="32" t="str">
        <f>+IF(I191=""," ",VLOOKUP(I191,Listas!$I$12:$J$14,2,FALSE))</f>
        <v>05</v>
      </c>
      <c r="I191" s="502" t="s">
        <v>467</v>
      </c>
      <c r="J191" s="356">
        <f>+IF(K191=""," ",VLOOKUP(K191,PUC!$B:$C,2,FALSE))</f>
        <v>6210021401</v>
      </c>
      <c r="K191" s="342" t="s">
        <v>712</v>
      </c>
      <c r="L191" s="11" t="str">
        <f>+IF(M191=""," ",VLOOKUP(M191,Listas!$F$9:$G$17,2,FALSE))</f>
        <v>03</v>
      </c>
      <c r="M191" s="475" t="s">
        <v>446</v>
      </c>
      <c r="N191" s="345">
        <f t="shared" si="2"/>
        <v>200000</v>
      </c>
      <c r="O191" s="15"/>
      <c r="P191" s="16"/>
      <c r="Q191" s="16"/>
      <c r="R191" s="16"/>
      <c r="S191" s="16"/>
      <c r="T191" s="16"/>
      <c r="U191" s="16"/>
      <c r="V191" s="16"/>
      <c r="W191" s="16"/>
      <c r="X191" s="16"/>
      <c r="Y191" s="16"/>
      <c r="Z191" s="17"/>
      <c r="AE191" s="345">
        <v>1000000</v>
      </c>
    </row>
    <row r="192" spans="1:31" s="59" customFormat="1" ht="33.75">
      <c r="A192" s="8"/>
      <c r="B192" s="11" t="str">
        <f>+IFERROR(VLOOKUP(C192,Listas!$L$8:$M$101,2,FALSE),"")</f>
        <v>10050101</v>
      </c>
      <c r="C192" s="334" t="s">
        <v>482</v>
      </c>
      <c r="D192" s="274"/>
      <c r="E192" s="275"/>
      <c r="F192" s="628"/>
      <c r="G192" s="385" t="s">
        <v>1158</v>
      </c>
      <c r="H192" s="32" t="str">
        <f>+IF(I192=""," ",VLOOKUP(I192,Listas!$I$12:$J$14,2,FALSE))</f>
        <v>05</v>
      </c>
      <c r="I192" s="502" t="s">
        <v>467</v>
      </c>
      <c r="J192" s="356">
        <f>+IF(K192=""," ",VLOOKUP(K192,PUC!$B:$C,2,FALSE))</f>
        <v>6210020505</v>
      </c>
      <c r="K192" s="342" t="s">
        <v>649</v>
      </c>
      <c r="L192" s="11" t="str">
        <f>+IF(M192=""," ",VLOOKUP(M192,Listas!$F$9:$G$17,2,FALSE))</f>
        <v>03</v>
      </c>
      <c r="M192" s="475" t="s">
        <v>446</v>
      </c>
      <c r="N192" s="345">
        <f t="shared" si="2"/>
        <v>400000</v>
      </c>
      <c r="O192" s="15"/>
      <c r="P192" s="16"/>
      <c r="Q192" s="16"/>
      <c r="R192" s="16"/>
      <c r="S192" s="16"/>
      <c r="T192" s="16"/>
      <c r="U192" s="16"/>
      <c r="V192" s="16"/>
      <c r="W192" s="16"/>
      <c r="X192" s="16"/>
      <c r="Y192" s="16"/>
      <c r="Z192" s="17"/>
      <c r="AE192" s="345">
        <v>2000000</v>
      </c>
    </row>
    <row r="193" spans="1:31" s="59" customFormat="1" ht="33.75">
      <c r="A193" s="8"/>
      <c r="B193" s="11" t="str">
        <f>+IFERROR(VLOOKUP(C193,Listas!$L$8:$M$101,2,FALSE),"")</f>
        <v>10050101</v>
      </c>
      <c r="C193" s="334" t="s">
        <v>482</v>
      </c>
      <c r="D193" s="274"/>
      <c r="E193" s="275"/>
      <c r="F193" s="628"/>
      <c r="G193" s="385" t="s">
        <v>1158</v>
      </c>
      <c r="H193" s="32" t="str">
        <f>+IF(I193=""," ",VLOOKUP(I193,Listas!$I$12:$J$14,2,FALSE))</f>
        <v>05</v>
      </c>
      <c r="I193" s="502" t="s">
        <v>467</v>
      </c>
      <c r="J193" s="356">
        <f>+IF(K193=""," ",VLOOKUP(K193,PUC!$B:$C,2,FALSE))</f>
        <v>6210020501</v>
      </c>
      <c r="K193" s="342" t="s">
        <v>648</v>
      </c>
      <c r="L193" s="11" t="str">
        <f>+IF(M193=""," ",VLOOKUP(M193,Listas!$F$9:$G$17,2,FALSE))</f>
        <v>03</v>
      </c>
      <c r="M193" s="475" t="s">
        <v>446</v>
      </c>
      <c r="N193" s="345">
        <f t="shared" si="2"/>
        <v>400000</v>
      </c>
      <c r="O193" s="15"/>
      <c r="P193" s="16"/>
      <c r="Q193" s="16"/>
      <c r="R193" s="16"/>
      <c r="S193" s="16"/>
      <c r="T193" s="16"/>
      <c r="U193" s="16"/>
      <c r="V193" s="16"/>
      <c r="W193" s="16"/>
      <c r="X193" s="16"/>
      <c r="Y193" s="16"/>
      <c r="Z193" s="17"/>
      <c r="AE193" s="345">
        <v>2000000</v>
      </c>
    </row>
    <row r="194" spans="1:31" s="59" customFormat="1" ht="38.25">
      <c r="A194" s="8"/>
      <c r="B194" s="11" t="str">
        <f>+IFERROR(VLOOKUP(C194,Listas!$L$8:$M$101,2,FALSE),"")</f>
        <v>10050101</v>
      </c>
      <c r="C194" s="334" t="s">
        <v>482</v>
      </c>
      <c r="D194" s="274"/>
      <c r="E194" s="275"/>
      <c r="F194" s="629"/>
      <c r="G194" s="385" t="s">
        <v>1158</v>
      </c>
      <c r="H194" s="32" t="str">
        <f>+IF(I194=""," ",VLOOKUP(I194,Listas!$I$12:$J$14,2,FALSE))</f>
        <v>06</v>
      </c>
      <c r="I194" s="502" t="s">
        <v>468</v>
      </c>
      <c r="J194" s="356">
        <f>+IF(K194=""," ",VLOOKUP(K194,PUC!$B:$C,2,FALSE))</f>
        <v>6210022101</v>
      </c>
      <c r="K194" s="342" t="s">
        <v>942</v>
      </c>
      <c r="L194" s="11" t="str">
        <f>+IF(M194=""," ",VLOOKUP(M194,Listas!$F$9:$G$17,2,FALSE))</f>
        <v>03</v>
      </c>
      <c r="M194" s="475" t="s">
        <v>446</v>
      </c>
      <c r="N194" s="345">
        <f t="shared" si="2"/>
        <v>520000</v>
      </c>
      <c r="O194" s="15"/>
      <c r="P194" s="16"/>
      <c r="Q194" s="16"/>
      <c r="R194" s="16"/>
      <c r="S194" s="16"/>
      <c r="T194" s="16"/>
      <c r="U194" s="16"/>
      <c r="V194" s="16"/>
      <c r="W194" s="16"/>
      <c r="X194" s="16"/>
      <c r="Y194" s="16"/>
      <c r="Z194" s="17"/>
      <c r="AE194" s="345">
        <v>2600000</v>
      </c>
    </row>
    <row r="195" spans="1:31" s="59" customFormat="1" ht="33.75">
      <c r="A195" s="8"/>
      <c r="B195" s="11" t="str">
        <f>+IFERROR(VLOOKUP(C195,Listas!$L$8:$M$101,2,FALSE),"")</f>
        <v>10050101</v>
      </c>
      <c r="C195" s="334" t="s">
        <v>482</v>
      </c>
      <c r="D195" s="274"/>
      <c r="E195" s="275"/>
      <c r="F195" s="634" t="s">
        <v>1154</v>
      </c>
      <c r="G195" s="387" t="s">
        <v>1155</v>
      </c>
      <c r="H195" s="388" t="str">
        <f>+IF(I195=""," ",VLOOKUP(I195,Listas!$I$12:$J$14,2,FALSE))</f>
        <v>05</v>
      </c>
      <c r="I195" s="503" t="s">
        <v>467</v>
      </c>
      <c r="J195" s="378">
        <f>+IF(K195=""," ",VLOOKUP(K195,PUC!$B:$C,2,FALSE))</f>
        <v>6210020203</v>
      </c>
      <c r="K195" s="389" t="s">
        <v>656</v>
      </c>
      <c r="L195" s="380" t="str">
        <f>+IF(M195=""," ",VLOOKUP(M195,Listas!$F$9:$G$17,2,FALSE))</f>
        <v>03</v>
      </c>
      <c r="M195" s="478" t="s">
        <v>446</v>
      </c>
      <c r="N195" s="381">
        <v>0</v>
      </c>
      <c r="O195" s="15"/>
      <c r="P195" s="16"/>
      <c r="Q195" s="16"/>
      <c r="R195" s="16"/>
      <c r="S195" s="16"/>
      <c r="T195" s="16"/>
      <c r="U195" s="16"/>
      <c r="V195" s="16"/>
      <c r="W195" s="16"/>
      <c r="X195" s="16"/>
      <c r="Y195" s="16"/>
      <c r="Z195" s="17"/>
    </row>
    <row r="196" spans="1:31" s="59" customFormat="1" ht="25.5">
      <c r="A196" s="8"/>
      <c r="B196" s="11" t="str">
        <f>+IFERROR(VLOOKUP(C196,Listas!$L$8:$M$101,2,FALSE),"")</f>
        <v>10050101</v>
      </c>
      <c r="C196" s="334" t="s">
        <v>482</v>
      </c>
      <c r="D196" s="274"/>
      <c r="E196" s="275"/>
      <c r="F196" s="635"/>
      <c r="G196" s="385" t="s">
        <v>1156</v>
      </c>
      <c r="H196" s="32" t="str">
        <f>+IF(I196=""," ",VLOOKUP(I196,Listas!$I$12:$J$14,2,FALSE))</f>
        <v xml:space="preserve"> </v>
      </c>
      <c r="I196" s="502"/>
      <c r="J196" s="356" t="str">
        <f>+IF(K196=""," ",VLOOKUP(K196,PUC!$B:$C,2,FALSE))</f>
        <v xml:space="preserve"> </v>
      </c>
      <c r="K196" s="342"/>
      <c r="L196" s="11" t="str">
        <f>+IF(M196=""," ",VLOOKUP(M196,Listas!$F$9:$G$17,2,FALSE))</f>
        <v xml:space="preserve"> </v>
      </c>
      <c r="M196" s="475"/>
      <c r="N196" s="345">
        <f t="shared" si="2"/>
        <v>0</v>
      </c>
      <c r="O196" s="15"/>
      <c r="P196" s="16"/>
      <c r="Q196" s="16"/>
      <c r="R196" s="16"/>
      <c r="S196" s="16"/>
      <c r="T196" s="16"/>
      <c r="U196" s="16"/>
      <c r="V196" s="16"/>
      <c r="W196" s="16"/>
      <c r="X196" s="16"/>
      <c r="Y196" s="16"/>
      <c r="Z196" s="17"/>
      <c r="AE196" s="345"/>
    </row>
    <row r="197" spans="1:31" s="59" customFormat="1" ht="33.75">
      <c r="A197" s="8"/>
      <c r="B197" s="11" t="str">
        <f>+IFERROR(VLOOKUP(C197,Listas!$L$8:$M$101,2,FALSE),"")</f>
        <v>10050101</v>
      </c>
      <c r="C197" s="334" t="s">
        <v>482</v>
      </c>
      <c r="D197" s="274"/>
      <c r="E197" s="275"/>
      <c r="F197" s="274"/>
      <c r="G197" s="387" t="s">
        <v>1160</v>
      </c>
      <c r="H197" s="388" t="str">
        <f>+IF(I197=""," ",VLOOKUP(I197,Listas!$I$12:$J$14,2,FALSE))</f>
        <v>05</v>
      </c>
      <c r="I197" s="503" t="s">
        <v>467</v>
      </c>
      <c r="J197" s="378">
        <f>+IF(K197=""," ",VLOOKUP(K197,PUC!$B:$C,2,FALSE))</f>
        <v>6210020203</v>
      </c>
      <c r="K197" s="389" t="s">
        <v>656</v>
      </c>
      <c r="L197" s="380" t="str">
        <f>+IF(M197=""," ",VLOOKUP(M197,Listas!$F$9:$G$17,2,FALSE))</f>
        <v>03</v>
      </c>
      <c r="M197" s="478" t="s">
        <v>446</v>
      </c>
      <c r="N197" s="381">
        <f t="shared" si="2"/>
        <v>0</v>
      </c>
      <c r="O197" s="15"/>
      <c r="P197" s="16"/>
      <c r="Q197" s="16"/>
      <c r="R197" s="16"/>
      <c r="S197" s="16"/>
      <c r="T197" s="16"/>
      <c r="U197" s="16"/>
      <c r="V197" s="16"/>
      <c r="W197" s="16"/>
      <c r="X197" s="16"/>
      <c r="Y197" s="16"/>
      <c r="Z197" s="17"/>
      <c r="AE197" s="381"/>
    </row>
    <row r="198" spans="1:31" s="59" customFormat="1" ht="29.25" customHeight="1">
      <c r="A198" s="8"/>
      <c r="B198" s="11" t="str">
        <f>+IFERROR(VLOOKUP(C198,Listas!$L$8:$M$101,2,FALSE),"")</f>
        <v>10050101</v>
      </c>
      <c r="C198" s="334" t="s">
        <v>482</v>
      </c>
      <c r="D198" s="274"/>
      <c r="E198" s="275"/>
      <c r="F198" s="627" t="s">
        <v>1152</v>
      </c>
      <c r="G198" s="385" t="s">
        <v>1153</v>
      </c>
      <c r="H198" s="32" t="str">
        <f>+IF(I198=""," ",VLOOKUP(I198,Listas!$I$12:$J$14,2,FALSE))</f>
        <v xml:space="preserve"> </v>
      </c>
      <c r="I198" s="502"/>
      <c r="J198" s="356" t="str">
        <f>+IF(K198=""," ",VLOOKUP(K198,PUC!$B:$C,2,FALSE))</f>
        <v xml:space="preserve"> </v>
      </c>
      <c r="K198" s="342"/>
      <c r="L198" s="11" t="str">
        <f>+IF(M198=""," ",VLOOKUP(M198,Listas!$F$9:$G$17,2,FALSE))</f>
        <v xml:space="preserve"> </v>
      </c>
      <c r="M198" s="475"/>
      <c r="N198" s="345">
        <f t="shared" si="2"/>
        <v>0</v>
      </c>
      <c r="O198" s="15"/>
      <c r="P198" s="16"/>
      <c r="Q198" s="16"/>
      <c r="R198" s="16"/>
      <c r="S198" s="16"/>
      <c r="T198" s="16"/>
      <c r="U198" s="16"/>
      <c r="V198" s="16"/>
      <c r="W198" s="16"/>
      <c r="X198" s="16"/>
      <c r="Y198" s="16"/>
      <c r="Z198" s="17"/>
      <c r="AE198" s="345"/>
    </row>
    <row r="199" spans="1:31" s="59" customFormat="1" ht="29.25" customHeight="1">
      <c r="A199" s="8"/>
      <c r="B199" s="11" t="str">
        <f>+IFERROR(VLOOKUP(C199,Listas!$L$8:$M$101,2,FALSE),"")</f>
        <v>10050101</v>
      </c>
      <c r="C199" s="334" t="s">
        <v>482</v>
      </c>
      <c r="D199" s="274"/>
      <c r="E199" s="275"/>
      <c r="F199" s="628"/>
      <c r="G199" s="385" t="s">
        <v>1159</v>
      </c>
      <c r="H199" s="32" t="str">
        <f>+IF(I199=""," ",VLOOKUP(I199,Listas!$I$12:$J$14,2,FALSE))</f>
        <v>05</v>
      </c>
      <c r="I199" s="502" t="s">
        <v>467</v>
      </c>
      <c r="J199" s="356">
        <f>+IF(K199=""," ",VLOOKUP(K199,PUC!$B:$C,2,FALSE))</f>
        <v>6210021401</v>
      </c>
      <c r="K199" s="342" t="s">
        <v>712</v>
      </c>
      <c r="L199" s="11" t="str">
        <f>+IF(M199=""," ",VLOOKUP(M199,Listas!$F$9:$G$17,2,FALSE))</f>
        <v>03</v>
      </c>
      <c r="M199" s="475" t="s">
        <v>446</v>
      </c>
      <c r="N199" s="345">
        <f t="shared" si="2"/>
        <v>400000</v>
      </c>
      <c r="O199" s="15"/>
      <c r="P199" s="16"/>
      <c r="Q199" s="16"/>
      <c r="R199" s="16"/>
      <c r="S199" s="16"/>
      <c r="T199" s="16"/>
      <c r="U199" s="16"/>
      <c r="V199" s="16"/>
      <c r="W199" s="16"/>
      <c r="X199" s="16"/>
      <c r="Y199" s="16"/>
      <c r="Z199" s="17"/>
      <c r="AE199" s="345">
        <v>2000000</v>
      </c>
    </row>
    <row r="200" spans="1:31" s="59" customFormat="1" ht="29.25" customHeight="1">
      <c r="A200" s="8"/>
      <c r="B200" s="11" t="str">
        <f>+IFERROR(VLOOKUP(C200,Listas!$L$8:$M$101,2,FALSE),"")</f>
        <v>10050101</v>
      </c>
      <c r="C200" s="334" t="s">
        <v>482</v>
      </c>
      <c r="D200" s="274"/>
      <c r="E200" s="275"/>
      <c r="F200" s="628"/>
      <c r="G200" s="385" t="s">
        <v>1159</v>
      </c>
      <c r="H200" s="32" t="str">
        <f>+IF(I200=""," ",VLOOKUP(I200,Listas!$I$12:$J$14,2,FALSE))</f>
        <v>05</v>
      </c>
      <c r="I200" s="502" t="s">
        <v>467</v>
      </c>
      <c r="J200" s="356">
        <f>+IF(K200=""," ",VLOOKUP(K200,PUC!$B:$C,2,FALSE))</f>
        <v>6210020505</v>
      </c>
      <c r="K200" s="342" t="s">
        <v>649</v>
      </c>
      <c r="L200" s="11" t="str">
        <f>+IF(M200=""," ",VLOOKUP(M200,Listas!$F$9:$G$17,2,FALSE))</f>
        <v>03</v>
      </c>
      <c r="M200" s="475" t="s">
        <v>446</v>
      </c>
      <c r="N200" s="345">
        <f t="shared" si="2"/>
        <v>600000</v>
      </c>
      <c r="O200" s="15"/>
      <c r="P200" s="16"/>
      <c r="Q200" s="16"/>
      <c r="R200" s="16"/>
      <c r="S200" s="16"/>
      <c r="T200" s="16"/>
      <c r="U200" s="16"/>
      <c r="V200" s="16"/>
      <c r="W200" s="16"/>
      <c r="X200" s="16"/>
      <c r="Y200" s="16"/>
      <c r="Z200" s="17"/>
      <c r="AE200" s="345">
        <v>3000000</v>
      </c>
    </row>
    <row r="201" spans="1:31" s="59" customFormat="1" ht="29.25" customHeight="1">
      <c r="A201" s="8"/>
      <c r="B201" s="11" t="str">
        <f>+IFERROR(VLOOKUP(C201,Listas!$L$8:$M$101,2,FALSE),"")</f>
        <v>10050101</v>
      </c>
      <c r="C201" s="334" t="s">
        <v>482</v>
      </c>
      <c r="D201" s="274"/>
      <c r="E201" s="275"/>
      <c r="F201" s="628"/>
      <c r="G201" s="385" t="s">
        <v>1159</v>
      </c>
      <c r="H201" s="32" t="str">
        <f>+IF(I201=""," ",VLOOKUP(I201,Listas!$I$12:$J$14,2,FALSE))</f>
        <v>05</v>
      </c>
      <c r="I201" s="502" t="s">
        <v>467</v>
      </c>
      <c r="J201" s="356">
        <f>+IF(K201=""," ",VLOOKUP(K201,PUC!$B:$C,2,FALSE))</f>
        <v>6210020501</v>
      </c>
      <c r="K201" s="342" t="s">
        <v>648</v>
      </c>
      <c r="L201" s="11" t="str">
        <f>+IF(M201=""," ",VLOOKUP(M201,Listas!$F$9:$G$17,2,FALSE))</f>
        <v>03</v>
      </c>
      <c r="M201" s="475" t="s">
        <v>446</v>
      </c>
      <c r="N201" s="345">
        <f t="shared" si="2"/>
        <v>800000</v>
      </c>
      <c r="O201" s="15"/>
      <c r="P201" s="16"/>
      <c r="Q201" s="16"/>
      <c r="R201" s="16"/>
      <c r="S201" s="16"/>
      <c r="T201" s="16"/>
      <c r="U201" s="16"/>
      <c r="V201" s="16"/>
      <c r="W201" s="16"/>
      <c r="X201" s="16"/>
      <c r="Y201" s="16"/>
      <c r="Z201" s="17"/>
      <c r="AE201" s="345">
        <v>4000000</v>
      </c>
    </row>
    <row r="202" spans="1:31" s="59" customFormat="1" ht="29.25" customHeight="1">
      <c r="A202" s="8"/>
      <c r="B202" s="11" t="str">
        <f>+IFERROR(VLOOKUP(C202,Listas!$L$8:$M$101,2,FALSE),"")</f>
        <v>10050101</v>
      </c>
      <c r="C202" s="334" t="s">
        <v>482</v>
      </c>
      <c r="D202" s="274"/>
      <c r="E202" s="275"/>
      <c r="F202" s="628"/>
      <c r="G202" s="385" t="s">
        <v>1159</v>
      </c>
      <c r="H202" s="32" t="str">
        <f>+IF(I202=""," ",VLOOKUP(I202,Listas!$I$12:$J$14,2,FALSE))</f>
        <v>05</v>
      </c>
      <c r="I202" s="502" t="s">
        <v>467</v>
      </c>
      <c r="J202" s="356">
        <f>+IF(K202=""," ",VLOOKUP(K202,PUC!$B:$C,2,FALSE))</f>
        <v>6210020101</v>
      </c>
      <c r="K202" s="342" t="s">
        <v>640</v>
      </c>
      <c r="L202" s="11" t="str">
        <f>+IF(M202=""," ",VLOOKUP(M202,Listas!$F$9:$G$17,2,FALSE))</f>
        <v>03</v>
      </c>
      <c r="M202" s="475" t="s">
        <v>446</v>
      </c>
      <c r="N202" s="345">
        <f t="shared" si="2"/>
        <v>200000</v>
      </c>
      <c r="O202" s="15"/>
      <c r="P202" s="16"/>
      <c r="Q202" s="16"/>
      <c r="R202" s="16"/>
      <c r="S202" s="16"/>
      <c r="T202" s="16"/>
      <c r="U202" s="16"/>
      <c r="V202" s="16"/>
      <c r="W202" s="16"/>
      <c r="X202" s="16"/>
      <c r="Y202" s="16"/>
      <c r="Z202" s="17"/>
      <c r="AE202" s="345">
        <v>1000000</v>
      </c>
    </row>
    <row r="203" spans="1:31" s="59" customFormat="1" ht="29.25" customHeight="1">
      <c r="A203" s="8"/>
      <c r="B203" s="11" t="str">
        <f>+IFERROR(VLOOKUP(C203,Listas!$L$8:$M$101,2,FALSE),"")</f>
        <v>10050101</v>
      </c>
      <c r="C203" s="334" t="s">
        <v>482</v>
      </c>
      <c r="D203" s="274"/>
      <c r="E203" s="275"/>
      <c r="F203" s="628"/>
      <c r="G203" s="385" t="s">
        <v>1159</v>
      </c>
      <c r="H203" s="32" t="str">
        <f>+IF(I203=""," ",VLOOKUP(I203,Listas!$I$12:$J$14,2,FALSE))</f>
        <v>05</v>
      </c>
      <c r="I203" s="502" t="s">
        <v>467</v>
      </c>
      <c r="J203" s="356">
        <f>+IF(K203=""," ",VLOOKUP(K203,PUC!$B:$C,2,FALSE))</f>
        <v>6210020503</v>
      </c>
      <c r="K203" s="342" t="s">
        <v>650</v>
      </c>
      <c r="L203" s="11" t="str">
        <f>+IF(M203=""," ",VLOOKUP(M203,Listas!$F$9:$G$17,2,FALSE))</f>
        <v>03</v>
      </c>
      <c r="M203" s="475" t="s">
        <v>446</v>
      </c>
      <c r="N203" s="345">
        <f t="shared" si="2"/>
        <v>600000</v>
      </c>
      <c r="O203" s="15"/>
      <c r="P203" s="16"/>
      <c r="Q203" s="16"/>
      <c r="R203" s="16"/>
      <c r="S203" s="16"/>
      <c r="T203" s="16"/>
      <c r="U203" s="16"/>
      <c r="V203" s="16"/>
      <c r="W203" s="16"/>
      <c r="X203" s="16"/>
      <c r="Y203" s="16"/>
      <c r="Z203" s="17"/>
      <c r="AE203" s="345">
        <v>3000000</v>
      </c>
    </row>
    <row r="204" spans="1:31" s="59" customFormat="1" ht="29.25" customHeight="1" thickBot="1">
      <c r="A204" s="8"/>
      <c r="B204" s="11" t="str">
        <f>+IFERROR(VLOOKUP(C204,Listas!$L$8:$M$101,2,FALSE),"")</f>
        <v>10050101</v>
      </c>
      <c r="C204" s="334" t="s">
        <v>482</v>
      </c>
      <c r="D204" s="274"/>
      <c r="E204" s="275"/>
      <c r="F204" s="629"/>
      <c r="G204" s="385" t="s">
        <v>1159</v>
      </c>
      <c r="H204" s="32" t="str">
        <f>+IF(I204=""," ",VLOOKUP(I204,Listas!$I$12:$J$14,2,FALSE))</f>
        <v>05</v>
      </c>
      <c r="I204" s="502" t="s">
        <v>467</v>
      </c>
      <c r="J204" s="356">
        <f>+IF(K204=""," ",VLOOKUP(K204,PUC!$B:$C,2,FALSE))</f>
        <v>6210022001</v>
      </c>
      <c r="K204" s="342" t="s">
        <v>646</v>
      </c>
      <c r="L204" s="11" t="str">
        <f>+IF(M204=""," ",VLOOKUP(M204,Listas!$F$9:$G$17,2,FALSE))</f>
        <v>03</v>
      </c>
      <c r="M204" s="475" t="s">
        <v>446</v>
      </c>
      <c r="N204" s="345">
        <f t="shared" si="2"/>
        <v>400000</v>
      </c>
      <c r="O204" s="15"/>
      <c r="P204" s="16"/>
      <c r="Q204" s="16"/>
      <c r="R204" s="16"/>
      <c r="S204" s="16"/>
      <c r="T204" s="16"/>
      <c r="U204" s="16"/>
      <c r="V204" s="16"/>
      <c r="W204" s="16"/>
      <c r="X204" s="16"/>
      <c r="Y204" s="16"/>
      <c r="Z204" s="17"/>
      <c r="AE204" s="345">
        <v>2000000</v>
      </c>
    </row>
    <row r="205" spans="1:31" s="59" customFormat="1" ht="29.25" hidden="1" customHeight="1">
      <c r="A205" s="8"/>
      <c r="B205" s="11" t="str">
        <f>+IFERROR(VLOOKUP(C205,Listas!$L$8:$M$101,2,FALSE),"")</f>
        <v>10050101</v>
      </c>
      <c r="C205" s="334" t="s">
        <v>482</v>
      </c>
      <c r="D205" s="274"/>
      <c r="E205" s="275"/>
      <c r="F205" s="627" t="s">
        <v>1152</v>
      </c>
      <c r="G205" s="385" t="s">
        <v>1153</v>
      </c>
      <c r="H205" s="32" t="str">
        <f>+IF(I205=""," ",VLOOKUP(I205,Listas!$I$12:$J$14,2,FALSE))</f>
        <v xml:space="preserve"> </v>
      </c>
      <c r="I205" s="502"/>
      <c r="J205" s="356" t="str">
        <f>+IF(K205=""," ",VLOOKUP(K205,PUC!$B:$C,2,FALSE))</f>
        <v xml:space="preserve"> </v>
      </c>
      <c r="K205" s="342"/>
      <c r="L205" s="11" t="str">
        <f>+IF(M205=""," ",VLOOKUP(M205,Listas!$F$9:$G$17,2,FALSE))</f>
        <v xml:space="preserve"> </v>
      </c>
      <c r="M205" s="475"/>
      <c r="N205" s="345">
        <f t="shared" si="2"/>
        <v>0</v>
      </c>
      <c r="O205" s="15"/>
      <c r="P205" s="16"/>
      <c r="Q205" s="16"/>
      <c r="R205" s="16"/>
      <c r="S205" s="16"/>
      <c r="T205" s="16"/>
      <c r="U205" s="16"/>
      <c r="V205" s="16"/>
      <c r="W205" s="16"/>
      <c r="X205" s="16"/>
      <c r="Y205" s="16"/>
      <c r="Z205" s="17"/>
      <c r="AE205" s="345"/>
    </row>
    <row r="206" spans="1:31" s="59" customFormat="1" ht="29.25" hidden="1" customHeight="1">
      <c r="A206" s="8"/>
      <c r="B206" s="11" t="str">
        <f>+IFERROR(VLOOKUP(C206,Listas!$L$8:$M$101,2,FALSE),"")</f>
        <v>10050101</v>
      </c>
      <c r="C206" s="334" t="s">
        <v>482</v>
      </c>
      <c r="D206" s="274"/>
      <c r="E206" s="275"/>
      <c r="F206" s="628"/>
      <c r="G206" s="385" t="s">
        <v>1159</v>
      </c>
      <c r="H206" s="32" t="str">
        <f>+IF(I206=""," ",VLOOKUP(I206,Listas!$I$12:$J$14,2,FALSE))</f>
        <v>05</v>
      </c>
      <c r="I206" s="502" t="s">
        <v>467</v>
      </c>
      <c r="J206" s="356">
        <f>+IF(K206=""," ",VLOOKUP(K206,PUC!$B:$C,2,FALSE))</f>
        <v>6210021401</v>
      </c>
      <c r="K206" s="342" t="s">
        <v>712</v>
      </c>
      <c r="L206" s="11" t="str">
        <f>+IF(M206=""," ",VLOOKUP(M206,Listas!$F$9:$G$17,2,FALSE))</f>
        <v>03</v>
      </c>
      <c r="M206" s="475" t="s">
        <v>446</v>
      </c>
      <c r="N206" s="345">
        <f t="shared" si="2"/>
        <v>0</v>
      </c>
      <c r="O206" s="15"/>
      <c r="P206" s="16"/>
      <c r="Q206" s="16"/>
      <c r="R206" s="16"/>
      <c r="S206" s="16"/>
      <c r="T206" s="16"/>
      <c r="U206" s="16"/>
      <c r="V206" s="16"/>
      <c r="W206" s="16"/>
      <c r="X206" s="16"/>
      <c r="Y206" s="16"/>
      <c r="Z206" s="17"/>
      <c r="AE206" s="345"/>
    </row>
    <row r="207" spans="1:31" s="59" customFormat="1" ht="29.25" hidden="1" customHeight="1">
      <c r="A207" s="8"/>
      <c r="B207" s="11" t="str">
        <f>+IFERROR(VLOOKUP(C207,Listas!$L$8:$M$101,2,FALSE),"")</f>
        <v>10050101</v>
      </c>
      <c r="C207" s="334" t="s">
        <v>482</v>
      </c>
      <c r="D207" s="274"/>
      <c r="E207" s="275"/>
      <c r="F207" s="628"/>
      <c r="G207" s="385" t="s">
        <v>1159</v>
      </c>
      <c r="H207" s="32" t="str">
        <f>+IF(I207=""," ",VLOOKUP(I207,Listas!$I$12:$J$14,2,FALSE))</f>
        <v>05</v>
      </c>
      <c r="I207" s="502" t="s">
        <v>467</v>
      </c>
      <c r="J207" s="356">
        <f>+IF(K207=""," ",VLOOKUP(K207,PUC!$B:$C,2,FALSE))</f>
        <v>6210020505</v>
      </c>
      <c r="K207" s="342" t="s">
        <v>649</v>
      </c>
      <c r="L207" s="11" t="str">
        <f>+IF(M207=""," ",VLOOKUP(M207,Listas!$F$9:$G$17,2,FALSE))</f>
        <v>03</v>
      </c>
      <c r="M207" s="475" t="s">
        <v>446</v>
      </c>
      <c r="N207" s="345">
        <f t="shared" ref="N207:N270" si="3">+IFERROR((MROUND(AE207*$AD$12,1000)),"")</f>
        <v>0</v>
      </c>
      <c r="O207" s="15"/>
      <c r="P207" s="16"/>
      <c r="Q207" s="16"/>
      <c r="R207" s="16"/>
      <c r="S207" s="16"/>
      <c r="T207" s="16"/>
      <c r="U207" s="16"/>
      <c r="V207" s="16"/>
      <c r="W207" s="16"/>
      <c r="X207" s="16"/>
      <c r="Y207" s="16"/>
      <c r="Z207" s="17"/>
      <c r="AE207" s="345"/>
    </row>
    <row r="208" spans="1:31" s="59" customFormat="1" ht="29.25" hidden="1" customHeight="1">
      <c r="A208" s="8"/>
      <c r="B208" s="11" t="str">
        <f>+IFERROR(VLOOKUP(C208,Listas!$L$8:$M$101,2,FALSE),"")</f>
        <v>10050101</v>
      </c>
      <c r="C208" s="334" t="s">
        <v>482</v>
      </c>
      <c r="D208" s="274"/>
      <c r="E208" s="275"/>
      <c r="F208" s="628"/>
      <c r="G208" s="385" t="s">
        <v>1159</v>
      </c>
      <c r="H208" s="32" t="str">
        <f>+IF(I208=""," ",VLOOKUP(I208,Listas!$I$12:$J$14,2,FALSE))</f>
        <v>05</v>
      </c>
      <c r="I208" s="502" t="s">
        <v>467</v>
      </c>
      <c r="J208" s="356">
        <f>+IF(K208=""," ",VLOOKUP(K208,PUC!$B:$C,2,FALSE))</f>
        <v>6210020501</v>
      </c>
      <c r="K208" s="342" t="s">
        <v>648</v>
      </c>
      <c r="L208" s="11" t="str">
        <f>+IF(M208=""," ",VLOOKUP(M208,Listas!$F$9:$G$17,2,FALSE))</f>
        <v>03</v>
      </c>
      <c r="M208" s="475" t="s">
        <v>446</v>
      </c>
      <c r="N208" s="345">
        <f t="shared" si="3"/>
        <v>0</v>
      </c>
      <c r="O208" s="15"/>
      <c r="P208" s="16"/>
      <c r="Q208" s="16"/>
      <c r="R208" s="16"/>
      <c r="S208" s="16"/>
      <c r="T208" s="16"/>
      <c r="U208" s="16"/>
      <c r="V208" s="16"/>
      <c r="W208" s="16"/>
      <c r="X208" s="16"/>
      <c r="Y208" s="16"/>
      <c r="Z208" s="17"/>
      <c r="AE208" s="345"/>
    </row>
    <row r="209" spans="1:31" s="59" customFormat="1" ht="29.25" hidden="1" customHeight="1">
      <c r="A209" s="8"/>
      <c r="B209" s="11" t="str">
        <f>+IFERROR(VLOOKUP(C209,Listas!$L$8:$M$101,2,FALSE),"")</f>
        <v>10050101</v>
      </c>
      <c r="C209" s="334" t="s">
        <v>482</v>
      </c>
      <c r="D209" s="274"/>
      <c r="E209" s="275"/>
      <c r="F209" s="628"/>
      <c r="G209" s="385" t="s">
        <v>1159</v>
      </c>
      <c r="H209" s="32" t="str">
        <f>+IF(I209=""," ",VLOOKUP(I209,Listas!$I$12:$J$14,2,FALSE))</f>
        <v>05</v>
      </c>
      <c r="I209" s="502" t="s">
        <v>467</v>
      </c>
      <c r="J209" s="356">
        <f>+IF(K209=""," ",VLOOKUP(K209,PUC!$B:$C,2,FALSE))</f>
        <v>6210020101</v>
      </c>
      <c r="K209" s="342" t="s">
        <v>640</v>
      </c>
      <c r="L209" s="11" t="str">
        <f>+IF(M209=""," ",VLOOKUP(M209,Listas!$F$9:$G$17,2,FALSE))</f>
        <v>03</v>
      </c>
      <c r="M209" s="475" t="s">
        <v>446</v>
      </c>
      <c r="N209" s="345">
        <f t="shared" si="3"/>
        <v>0</v>
      </c>
      <c r="O209" s="15"/>
      <c r="P209" s="16"/>
      <c r="Q209" s="16"/>
      <c r="R209" s="16"/>
      <c r="S209" s="16"/>
      <c r="T209" s="16"/>
      <c r="U209" s="16"/>
      <c r="V209" s="16"/>
      <c r="W209" s="16"/>
      <c r="X209" s="16"/>
      <c r="Y209" s="16"/>
      <c r="Z209" s="17"/>
      <c r="AE209" s="345"/>
    </row>
    <row r="210" spans="1:31" s="59" customFormat="1" ht="29.25" hidden="1" customHeight="1" thickBot="1">
      <c r="A210" s="8"/>
      <c r="B210" s="11" t="str">
        <f>+IFERROR(VLOOKUP(C210,Listas!$L$8:$M$101,2,FALSE),"")</f>
        <v>10050101</v>
      </c>
      <c r="C210" s="334" t="s">
        <v>482</v>
      </c>
      <c r="D210" s="274"/>
      <c r="E210" s="275"/>
      <c r="F210" s="628"/>
      <c r="G210" s="385" t="s">
        <v>1159</v>
      </c>
      <c r="H210" s="32" t="str">
        <f>+IF(I210=""," ",VLOOKUP(I210,Listas!$I$12:$J$14,2,FALSE))</f>
        <v>05</v>
      </c>
      <c r="I210" s="502" t="s">
        <v>467</v>
      </c>
      <c r="J210" s="356">
        <f>+IF(K210=""," ",VLOOKUP(K210,PUC!$B:$C,2,FALSE))</f>
        <v>6210020503</v>
      </c>
      <c r="K210" s="342" t="s">
        <v>650</v>
      </c>
      <c r="L210" s="11" t="str">
        <f>+IF(M210=""," ",VLOOKUP(M210,Listas!$F$9:$G$17,2,FALSE))</f>
        <v>03</v>
      </c>
      <c r="M210" s="475" t="s">
        <v>446</v>
      </c>
      <c r="N210" s="345">
        <f t="shared" si="3"/>
        <v>0</v>
      </c>
      <c r="O210" s="23"/>
      <c r="P210" s="24"/>
      <c r="Q210" s="24"/>
      <c r="R210" s="24"/>
      <c r="S210" s="24"/>
      <c r="T210" s="24"/>
      <c r="U210" s="24"/>
      <c r="V210" s="24"/>
      <c r="W210" s="24"/>
      <c r="X210" s="24"/>
      <c r="Y210" s="24"/>
      <c r="Z210" s="25"/>
      <c r="AE210" s="345"/>
    </row>
    <row r="211" spans="1:31" s="59" customFormat="1" ht="29.25" hidden="1" customHeight="1">
      <c r="A211" s="8"/>
      <c r="B211" s="11" t="str">
        <f>+IFERROR(VLOOKUP(C211,Listas!$L$8:$M$101,2,FALSE),"")</f>
        <v>10050101</v>
      </c>
      <c r="C211" s="334" t="s">
        <v>482</v>
      </c>
      <c r="D211" s="274"/>
      <c r="E211" s="275"/>
      <c r="F211" s="629"/>
      <c r="G211" s="385" t="s">
        <v>1159</v>
      </c>
      <c r="H211" s="32" t="str">
        <f>+IF(I211=""," ",VLOOKUP(I211,Listas!$I$12:$J$14,2,FALSE))</f>
        <v>05</v>
      </c>
      <c r="I211" s="502" t="s">
        <v>467</v>
      </c>
      <c r="J211" s="356">
        <f>+IF(K211=""," ",VLOOKUP(K211,PUC!$B:$C,2,FALSE))</f>
        <v>6210022001</v>
      </c>
      <c r="K211" s="342" t="s">
        <v>646</v>
      </c>
      <c r="L211" s="11" t="str">
        <f>+IF(M211=""," ",VLOOKUP(M211,Listas!$F$9:$G$17,2,FALSE))</f>
        <v>03</v>
      </c>
      <c r="M211" s="475" t="s">
        <v>446</v>
      </c>
      <c r="N211" s="345">
        <f t="shared" si="3"/>
        <v>0</v>
      </c>
      <c r="O211" s="12"/>
      <c r="P211" s="13"/>
      <c r="Q211" s="13"/>
      <c r="R211" s="13"/>
      <c r="S211" s="13"/>
      <c r="T211" s="13"/>
      <c r="U211" s="13"/>
      <c r="V211" s="13"/>
      <c r="W211" s="13"/>
      <c r="X211" s="13"/>
      <c r="Y211" s="13"/>
      <c r="Z211" s="14"/>
      <c r="AE211" s="345"/>
    </row>
    <row r="212" spans="1:31" s="59" customFormat="1" ht="29.25" hidden="1" customHeight="1">
      <c r="A212" s="8"/>
      <c r="B212" s="11" t="str">
        <f>+IFERROR(VLOOKUP(C212,Listas!$L$8:$M$101,2,FALSE),"")</f>
        <v>10050101</v>
      </c>
      <c r="C212" s="334" t="s">
        <v>482</v>
      </c>
      <c r="D212" s="274"/>
      <c r="E212" s="275"/>
      <c r="F212" s="627" t="s">
        <v>1152</v>
      </c>
      <c r="G212" s="385" t="s">
        <v>1153</v>
      </c>
      <c r="H212" s="32" t="str">
        <f>+IF(I212=""," ",VLOOKUP(I212,Listas!$I$12:$J$14,2,FALSE))</f>
        <v xml:space="preserve"> </v>
      </c>
      <c r="I212" s="502"/>
      <c r="J212" s="356" t="str">
        <f>+IF(K212=""," ",VLOOKUP(K212,PUC!$B:$C,2,FALSE))</f>
        <v xml:space="preserve"> </v>
      </c>
      <c r="K212" s="342"/>
      <c r="L212" s="11" t="str">
        <f>+IF(M212=""," ",VLOOKUP(M212,Listas!$F$9:$G$17,2,FALSE))</f>
        <v xml:space="preserve"> </v>
      </c>
      <c r="M212" s="475"/>
      <c r="N212" s="345">
        <f t="shared" si="3"/>
        <v>0</v>
      </c>
      <c r="O212" s="15"/>
      <c r="P212" s="16"/>
      <c r="Q212" s="16"/>
      <c r="R212" s="16"/>
      <c r="S212" s="16"/>
      <c r="T212" s="16"/>
      <c r="U212" s="16"/>
      <c r="V212" s="16"/>
      <c r="W212" s="16"/>
      <c r="X212" s="16"/>
      <c r="Y212" s="16"/>
      <c r="Z212" s="17"/>
      <c r="AE212" s="345"/>
    </row>
    <row r="213" spans="1:31" s="59" customFormat="1" ht="29.25" hidden="1" customHeight="1">
      <c r="A213" s="8"/>
      <c r="B213" s="11" t="str">
        <f>+IFERROR(VLOOKUP(C213,Listas!$L$8:$M$101,2,FALSE),"")</f>
        <v>10050101</v>
      </c>
      <c r="C213" s="334" t="s">
        <v>482</v>
      </c>
      <c r="D213" s="274"/>
      <c r="E213" s="275"/>
      <c r="F213" s="628"/>
      <c r="G213" s="385" t="s">
        <v>1159</v>
      </c>
      <c r="H213" s="32" t="str">
        <f>+IF(I213=""," ",VLOOKUP(I213,Listas!$I$12:$J$14,2,FALSE))</f>
        <v>05</v>
      </c>
      <c r="I213" s="502" t="s">
        <v>467</v>
      </c>
      <c r="J213" s="356">
        <f>+IF(K213=""," ",VLOOKUP(K213,PUC!$B:$C,2,FALSE))</f>
        <v>6210021401</v>
      </c>
      <c r="K213" s="342" t="s">
        <v>712</v>
      </c>
      <c r="L213" s="11" t="str">
        <f>+IF(M213=""," ",VLOOKUP(M213,Listas!$F$9:$G$17,2,FALSE))</f>
        <v>03</v>
      </c>
      <c r="M213" s="475" t="s">
        <v>446</v>
      </c>
      <c r="N213" s="345">
        <f t="shared" si="3"/>
        <v>0</v>
      </c>
      <c r="O213" s="15"/>
      <c r="P213" s="16"/>
      <c r="Q213" s="16"/>
      <c r="R213" s="16"/>
      <c r="S213" s="16"/>
      <c r="T213" s="16"/>
      <c r="U213" s="16"/>
      <c r="V213" s="16"/>
      <c r="W213" s="16"/>
      <c r="X213" s="16"/>
      <c r="Y213" s="16"/>
      <c r="Z213" s="17"/>
      <c r="AE213" s="345"/>
    </row>
    <row r="214" spans="1:31" s="59" customFormat="1" ht="29.25" hidden="1" customHeight="1">
      <c r="A214" s="8"/>
      <c r="B214" s="11" t="str">
        <f>+IFERROR(VLOOKUP(C214,Listas!$L$8:$M$101,2,FALSE),"")</f>
        <v>10050101</v>
      </c>
      <c r="C214" s="334" t="s">
        <v>482</v>
      </c>
      <c r="D214" s="274"/>
      <c r="E214" s="275"/>
      <c r="F214" s="628"/>
      <c r="G214" s="385" t="s">
        <v>1159</v>
      </c>
      <c r="H214" s="32" t="str">
        <f>+IF(I214=""," ",VLOOKUP(I214,Listas!$I$12:$J$14,2,FALSE))</f>
        <v>05</v>
      </c>
      <c r="I214" s="502" t="s">
        <v>467</v>
      </c>
      <c r="J214" s="356">
        <f>+IF(K214=""," ",VLOOKUP(K214,PUC!$B:$C,2,FALSE))</f>
        <v>6210020505</v>
      </c>
      <c r="K214" s="342" t="s">
        <v>649</v>
      </c>
      <c r="L214" s="11" t="str">
        <f>+IF(M214=""," ",VLOOKUP(M214,Listas!$F$9:$G$17,2,FALSE))</f>
        <v>03</v>
      </c>
      <c r="M214" s="475" t="s">
        <v>446</v>
      </c>
      <c r="N214" s="345">
        <f t="shared" si="3"/>
        <v>0</v>
      </c>
      <c r="O214" s="15"/>
      <c r="P214" s="16"/>
      <c r="Q214" s="16"/>
      <c r="R214" s="16"/>
      <c r="S214" s="16"/>
      <c r="T214" s="16"/>
      <c r="U214" s="16"/>
      <c r="V214" s="16"/>
      <c r="W214" s="16"/>
      <c r="X214" s="16"/>
      <c r="Y214" s="16"/>
      <c r="Z214" s="17"/>
      <c r="AE214" s="345"/>
    </row>
    <row r="215" spans="1:31" s="59" customFormat="1" ht="29.25" hidden="1" customHeight="1">
      <c r="A215" s="8"/>
      <c r="B215" s="11" t="str">
        <f>+IFERROR(VLOOKUP(C215,Listas!$L$8:$M$101,2,FALSE),"")</f>
        <v>10050101</v>
      </c>
      <c r="C215" s="334" t="s">
        <v>482</v>
      </c>
      <c r="D215" s="274"/>
      <c r="E215" s="275"/>
      <c r="F215" s="628"/>
      <c r="G215" s="385" t="s">
        <v>1159</v>
      </c>
      <c r="H215" s="32" t="str">
        <f>+IF(I215=""," ",VLOOKUP(I215,Listas!$I$12:$J$14,2,FALSE))</f>
        <v>05</v>
      </c>
      <c r="I215" s="502" t="s">
        <v>467</v>
      </c>
      <c r="J215" s="356">
        <f>+IF(K215=""," ",VLOOKUP(K215,PUC!$B:$C,2,FALSE))</f>
        <v>6210020501</v>
      </c>
      <c r="K215" s="342" t="s">
        <v>648</v>
      </c>
      <c r="L215" s="11" t="str">
        <f>+IF(M215=""," ",VLOOKUP(M215,Listas!$F$9:$G$17,2,FALSE))</f>
        <v>03</v>
      </c>
      <c r="M215" s="475" t="s">
        <v>446</v>
      </c>
      <c r="N215" s="345">
        <f t="shared" si="3"/>
        <v>0</v>
      </c>
      <c r="O215" s="15"/>
      <c r="P215" s="16"/>
      <c r="Q215" s="16"/>
      <c r="R215" s="16"/>
      <c r="S215" s="16"/>
      <c r="T215" s="16"/>
      <c r="U215" s="16"/>
      <c r="V215" s="16"/>
      <c r="W215" s="16"/>
      <c r="X215" s="16"/>
      <c r="Y215" s="16"/>
      <c r="Z215" s="17"/>
      <c r="AE215" s="345"/>
    </row>
    <row r="216" spans="1:31" s="59" customFormat="1" ht="29.25" hidden="1" customHeight="1">
      <c r="A216" s="8"/>
      <c r="B216" s="11" t="str">
        <f>+IFERROR(VLOOKUP(C216,Listas!$L$8:$M$101,2,FALSE),"")</f>
        <v>10050101</v>
      </c>
      <c r="C216" s="334" t="s">
        <v>482</v>
      </c>
      <c r="D216" s="274"/>
      <c r="E216" s="275"/>
      <c r="F216" s="628"/>
      <c r="G216" s="385" t="s">
        <v>1159</v>
      </c>
      <c r="H216" s="32" t="str">
        <f>+IF(I216=""," ",VLOOKUP(I216,Listas!$I$12:$J$14,2,FALSE))</f>
        <v>05</v>
      </c>
      <c r="I216" s="502" t="s">
        <v>467</v>
      </c>
      <c r="J216" s="356">
        <f>+IF(K216=""," ",VLOOKUP(K216,PUC!$B:$C,2,FALSE))</f>
        <v>6210020101</v>
      </c>
      <c r="K216" s="342" t="s">
        <v>640</v>
      </c>
      <c r="L216" s="11" t="str">
        <f>+IF(M216=""," ",VLOOKUP(M216,Listas!$F$9:$G$17,2,FALSE))</f>
        <v>03</v>
      </c>
      <c r="M216" s="475" t="s">
        <v>446</v>
      </c>
      <c r="N216" s="345">
        <f t="shared" si="3"/>
        <v>0</v>
      </c>
      <c r="O216" s="15"/>
      <c r="P216" s="16"/>
      <c r="Q216" s="16"/>
      <c r="R216" s="16"/>
      <c r="S216" s="16"/>
      <c r="T216" s="16"/>
      <c r="U216" s="16"/>
      <c r="V216" s="16"/>
      <c r="W216" s="16"/>
      <c r="X216" s="16"/>
      <c r="Y216" s="16"/>
      <c r="Z216" s="17"/>
      <c r="AE216" s="345"/>
    </row>
    <row r="217" spans="1:31" s="59" customFormat="1" ht="29.25" hidden="1" customHeight="1">
      <c r="A217" s="8"/>
      <c r="B217" s="11" t="str">
        <f>+IFERROR(VLOOKUP(C217,Listas!$L$8:$M$101,2,FALSE),"")</f>
        <v>10050101</v>
      </c>
      <c r="C217" s="334" t="s">
        <v>482</v>
      </c>
      <c r="D217" s="274"/>
      <c r="E217" s="275"/>
      <c r="F217" s="628"/>
      <c r="G217" s="385" t="s">
        <v>1159</v>
      </c>
      <c r="H217" s="32" t="str">
        <f>+IF(I217=""," ",VLOOKUP(I217,Listas!$I$12:$J$14,2,FALSE))</f>
        <v>05</v>
      </c>
      <c r="I217" s="502" t="s">
        <v>467</v>
      </c>
      <c r="J217" s="356">
        <f>+IF(K217=""," ",VLOOKUP(K217,PUC!$B:$C,2,FALSE))</f>
        <v>6210020503</v>
      </c>
      <c r="K217" s="342" t="s">
        <v>650</v>
      </c>
      <c r="L217" s="11" t="str">
        <f>+IF(M217=""," ",VLOOKUP(M217,Listas!$F$9:$G$17,2,FALSE))</f>
        <v>03</v>
      </c>
      <c r="M217" s="475" t="s">
        <v>446</v>
      </c>
      <c r="N217" s="345">
        <f t="shared" si="3"/>
        <v>0</v>
      </c>
      <c r="O217" s="15"/>
      <c r="P217" s="16"/>
      <c r="Q217" s="16"/>
      <c r="R217" s="16"/>
      <c r="S217" s="16"/>
      <c r="T217" s="16"/>
      <c r="U217" s="16"/>
      <c r="V217" s="16"/>
      <c r="W217" s="16"/>
      <c r="X217" s="16"/>
      <c r="Y217" s="16"/>
      <c r="Z217" s="17"/>
      <c r="AE217" s="345"/>
    </row>
    <row r="218" spans="1:31" s="59" customFormat="1" ht="29.25" hidden="1" customHeight="1">
      <c r="A218" s="8"/>
      <c r="B218" s="11" t="str">
        <f>+IFERROR(VLOOKUP(C218,Listas!$L$8:$M$101,2,FALSE),"")</f>
        <v>10050101</v>
      </c>
      <c r="C218" s="334" t="s">
        <v>482</v>
      </c>
      <c r="D218" s="274"/>
      <c r="E218" s="275"/>
      <c r="F218" s="629"/>
      <c r="G218" s="385" t="s">
        <v>1159</v>
      </c>
      <c r="H218" s="32" t="str">
        <f>+IF(I218=""," ",VLOOKUP(I218,Listas!$I$12:$J$14,2,FALSE))</f>
        <v>05</v>
      </c>
      <c r="I218" s="502" t="s">
        <v>467</v>
      </c>
      <c r="J218" s="356">
        <f>+IF(K218=""," ",VLOOKUP(K218,PUC!$B:$C,2,FALSE))</f>
        <v>6210022001</v>
      </c>
      <c r="K218" s="342" t="s">
        <v>646</v>
      </c>
      <c r="L218" s="11" t="str">
        <f>+IF(M218=""," ",VLOOKUP(M218,Listas!$F$9:$G$17,2,FALSE))</f>
        <v>03</v>
      </c>
      <c r="M218" s="475" t="s">
        <v>446</v>
      </c>
      <c r="N218" s="345">
        <f t="shared" si="3"/>
        <v>0</v>
      </c>
      <c r="O218" s="15"/>
      <c r="P218" s="16"/>
      <c r="Q218" s="16"/>
      <c r="R218" s="16"/>
      <c r="S218" s="16"/>
      <c r="T218" s="16"/>
      <c r="U218" s="16"/>
      <c r="V218" s="16"/>
      <c r="W218" s="16"/>
      <c r="X218" s="16"/>
      <c r="Y218" s="16"/>
      <c r="Z218" s="17"/>
      <c r="AE218" s="345"/>
    </row>
    <row r="219" spans="1:31" s="59" customFormat="1" ht="29.25" hidden="1" customHeight="1">
      <c r="A219" s="8"/>
      <c r="B219" s="11" t="str">
        <f>+IFERROR(VLOOKUP(C219,Listas!$L$8:$M$101,2,FALSE),"")</f>
        <v>10050101</v>
      </c>
      <c r="C219" s="334" t="s">
        <v>482</v>
      </c>
      <c r="D219" s="274"/>
      <c r="E219" s="275"/>
      <c r="F219" s="627" t="s">
        <v>1152</v>
      </c>
      <c r="G219" s="385" t="s">
        <v>1153</v>
      </c>
      <c r="H219" s="32" t="str">
        <f>+IF(I219=""," ",VLOOKUP(I219,Listas!$I$12:$J$14,2,FALSE))</f>
        <v xml:space="preserve"> </v>
      </c>
      <c r="I219" s="502"/>
      <c r="J219" s="356" t="str">
        <f>+IF(K219=""," ",VLOOKUP(K219,PUC!$B:$C,2,FALSE))</f>
        <v xml:space="preserve"> </v>
      </c>
      <c r="K219" s="342"/>
      <c r="L219" s="11" t="str">
        <f>+IF(M219=""," ",VLOOKUP(M219,Listas!$F$9:$G$17,2,FALSE))</f>
        <v xml:space="preserve"> </v>
      </c>
      <c r="M219" s="475"/>
      <c r="N219" s="345">
        <f t="shared" si="3"/>
        <v>0</v>
      </c>
      <c r="O219" s="15"/>
      <c r="P219" s="16"/>
      <c r="Q219" s="16"/>
      <c r="R219" s="16"/>
      <c r="S219" s="16"/>
      <c r="T219" s="16"/>
      <c r="U219" s="16"/>
      <c r="V219" s="16"/>
      <c r="W219" s="16"/>
      <c r="X219" s="16"/>
      <c r="Y219" s="16"/>
      <c r="Z219" s="17"/>
      <c r="AE219" s="345"/>
    </row>
    <row r="220" spans="1:31" s="59" customFormat="1" ht="29.25" hidden="1" customHeight="1">
      <c r="A220" s="8"/>
      <c r="B220" s="11" t="str">
        <f>+IFERROR(VLOOKUP(C220,Listas!$L$8:$M$101,2,FALSE),"")</f>
        <v>10050101</v>
      </c>
      <c r="C220" s="334" t="s">
        <v>482</v>
      </c>
      <c r="D220" s="274"/>
      <c r="E220" s="275"/>
      <c r="F220" s="628"/>
      <c r="G220" s="385" t="s">
        <v>1159</v>
      </c>
      <c r="H220" s="32" t="str">
        <f>+IF(I220=""," ",VLOOKUP(I220,Listas!$I$12:$J$14,2,FALSE))</f>
        <v>05</v>
      </c>
      <c r="I220" s="502" t="s">
        <v>467</v>
      </c>
      <c r="J220" s="356">
        <f>+IF(K220=""," ",VLOOKUP(K220,PUC!$B:$C,2,FALSE))</f>
        <v>6210021401</v>
      </c>
      <c r="K220" s="342" t="s">
        <v>712</v>
      </c>
      <c r="L220" s="11" t="str">
        <f>+IF(M220=""," ",VLOOKUP(M220,Listas!$F$9:$G$17,2,FALSE))</f>
        <v>03</v>
      </c>
      <c r="M220" s="475" t="s">
        <v>446</v>
      </c>
      <c r="N220" s="345">
        <f t="shared" si="3"/>
        <v>0</v>
      </c>
      <c r="O220" s="15"/>
      <c r="P220" s="16"/>
      <c r="Q220" s="16"/>
      <c r="R220" s="16"/>
      <c r="S220" s="16"/>
      <c r="T220" s="16"/>
      <c r="U220" s="16"/>
      <c r="V220" s="16"/>
      <c r="W220" s="16"/>
      <c r="X220" s="16"/>
      <c r="Y220" s="16"/>
      <c r="Z220" s="17"/>
      <c r="AE220" s="345"/>
    </row>
    <row r="221" spans="1:31" s="59" customFormat="1" ht="29.25" hidden="1" customHeight="1">
      <c r="A221" s="8"/>
      <c r="B221" s="11" t="str">
        <f>+IFERROR(VLOOKUP(C221,Listas!$L$8:$M$101,2,FALSE),"")</f>
        <v>10050101</v>
      </c>
      <c r="C221" s="334" t="s">
        <v>482</v>
      </c>
      <c r="D221" s="274"/>
      <c r="E221" s="275"/>
      <c r="F221" s="628"/>
      <c r="G221" s="385" t="s">
        <v>1159</v>
      </c>
      <c r="H221" s="32" t="str">
        <f>+IF(I221=""," ",VLOOKUP(I221,Listas!$I$12:$J$14,2,FALSE))</f>
        <v>05</v>
      </c>
      <c r="I221" s="502" t="s">
        <v>467</v>
      </c>
      <c r="J221" s="356">
        <f>+IF(K221=""," ",VLOOKUP(K221,PUC!$B:$C,2,FALSE))</f>
        <v>6210020505</v>
      </c>
      <c r="K221" s="342" t="s">
        <v>649</v>
      </c>
      <c r="L221" s="11" t="str">
        <f>+IF(M221=""," ",VLOOKUP(M221,Listas!$F$9:$G$17,2,FALSE))</f>
        <v>03</v>
      </c>
      <c r="M221" s="475" t="s">
        <v>446</v>
      </c>
      <c r="N221" s="345">
        <f t="shared" si="3"/>
        <v>0</v>
      </c>
      <c r="O221" s="15"/>
      <c r="P221" s="16"/>
      <c r="Q221" s="16"/>
      <c r="R221" s="16"/>
      <c r="S221" s="16"/>
      <c r="T221" s="16"/>
      <c r="U221" s="16"/>
      <c r="V221" s="16"/>
      <c r="W221" s="16"/>
      <c r="X221" s="16"/>
      <c r="Y221" s="16"/>
      <c r="Z221" s="17"/>
      <c r="AE221" s="345"/>
    </row>
    <row r="222" spans="1:31" s="59" customFormat="1" ht="29.25" hidden="1" customHeight="1">
      <c r="A222" s="8"/>
      <c r="B222" s="11" t="str">
        <f>+IFERROR(VLOOKUP(C222,Listas!$L$8:$M$101,2,FALSE),"")</f>
        <v>10050101</v>
      </c>
      <c r="C222" s="334" t="s">
        <v>482</v>
      </c>
      <c r="D222" s="274"/>
      <c r="E222" s="275"/>
      <c r="F222" s="628"/>
      <c r="G222" s="385" t="s">
        <v>1159</v>
      </c>
      <c r="H222" s="32" t="str">
        <f>+IF(I222=""," ",VLOOKUP(I222,Listas!$I$12:$J$14,2,FALSE))</f>
        <v>05</v>
      </c>
      <c r="I222" s="502" t="s">
        <v>467</v>
      </c>
      <c r="J222" s="356">
        <f>+IF(K222=""," ",VLOOKUP(K222,PUC!$B:$C,2,FALSE))</f>
        <v>6210020501</v>
      </c>
      <c r="K222" s="342" t="s">
        <v>648</v>
      </c>
      <c r="L222" s="11" t="str">
        <f>+IF(M222=""," ",VLOOKUP(M222,Listas!$F$9:$G$17,2,FALSE))</f>
        <v>03</v>
      </c>
      <c r="M222" s="475" t="s">
        <v>446</v>
      </c>
      <c r="N222" s="345">
        <f t="shared" si="3"/>
        <v>0</v>
      </c>
      <c r="O222" s="15"/>
      <c r="P222" s="16"/>
      <c r="Q222" s="16"/>
      <c r="R222" s="16"/>
      <c r="S222" s="16"/>
      <c r="T222" s="16"/>
      <c r="U222" s="16"/>
      <c r="V222" s="16"/>
      <c r="W222" s="16"/>
      <c r="X222" s="16"/>
      <c r="Y222" s="16"/>
      <c r="Z222" s="17"/>
      <c r="AE222" s="345"/>
    </row>
    <row r="223" spans="1:31" s="59" customFormat="1" ht="29.25" hidden="1" customHeight="1">
      <c r="A223" s="8"/>
      <c r="B223" s="11" t="str">
        <f>+IFERROR(VLOOKUP(C223,Listas!$L$8:$M$101,2,FALSE),"")</f>
        <v>10050101</v>
      </c>
      <c r="C223" s="334" t="s">
        <v>482</v>
      </c>
      <c r="D223" s="274"/>
      <c r="E223" s="275"/>
      <c r="F223" s="628"/>
      <c r="G223" s="385" t="s">
        <v>1159</v>
      </c>
      <c r="H223" s="32" t="str">
        <f>+IF(I223=""," ",VLOOKUP(I223,Listas!$I$12:$J$14,2,FALSE))</f>
        <v>05</v>
      </c>
      <c r="I223" s="502" t="s">
        <v>467</v>
      </c>
      <c r="J223" s="356">
        <f>+IF(K223=""," ",VLOOKUP(K223,PUC!$B:$C,2,FALSE))</f>
        <v>6210020101</v>
      </c>
      <c r="K223" s="342" t="s">
        <v>640</v>
      </c>
      <c r="L223" s="11" t="str">
        <f>+IF(M223=""," ",VLOOKUP(M223,Listas!$F$9:$G$17,2,FALSE))</f>
        <v>03</v>
      </c>
      <c r="M223" s="475" t="s">
        <v>446</v>
      </c>
      <c r="N223" s="345">
        <f t="shared" si="3"/>
        <v>0</v>
      </c>
      <c r="O223" s="15"/>
      <c r="P223" s="16"/>
      <c r="Q223" s="16"/>
      <c r="R223" s="16"/>
      <c r="S223" s="16"/>
      <c r="T223" s="16"/>
      <c r="U223" s="16"/>
      <c r="V223" s="16"/>
      <c r="W223" s="16"/>
      <c r="X223" s="16"/>
      <c r="Y223" s="16"/>
      <c r="Z223" s="17"/>
      <c r="AE223" s="345"/>
    </row>
    <row r="224" spans="1:31" s="59" customFormat="1" ht="29.25" hidden="1" customHeight="1">
      <c r="A224" s="8"/>
      <c r="B224" s="11" t="str">
        <f>+IFERROR(VLOOKUP(C224,Listas!$L$8:$M$101,2,FALSE),"")</f>
        <v>10050101</v>
      </c>
      <c r="C224" s="334" t="s">
        <v>482</v>
      </c>
      <c r="D224" s="274"/>
      <c r="E224" s="275"/>
      <c r="F224" s="628"/>
      <c r="G224" s="385" t="s">
        <v>1159</v>
      </c>
      <c r="H224" s="32" t="str">
        <f>+IF(I224=""," ",VLOOKUP(I224,Listas!$I$12:$J$14,2,FALSE))</f>
        <v>05</v>
      </c>
      <c r="I224" s="502" t="s">
        <v>467</v>
      </c>
      <c r="J224" s="356">
        <f>+IF(K224=""," ",VLOOKUP(K224,PUC!$B:$C,2,FALSE))</f>
        <v>6210020503</v>
      </c>
      <c r="K224" s="342" t="s">
        <v>650</v>
      </c>
      <c r="L224" s="11" t="str">
        <f>+IF(M224=""," ",VLOOKUP(M224,Listas!$F$9:$G$17,2,FALSE))</f>
        <v>03</v>
      </c>
      <c r="M224" s="475" t="s">
        <v>446</v>
      </c>
      <c r="N224" s="345">
        <f t="shared" si="3"/>
        <v>0</v>
      </c>
      <c r="O224" s="15"/>
      <c r="P224" s="16"/>
      <c r="Q224" s="16"/>
      <c r="R224" s="16"/>
      <c r="S224" s="16"/>
      <c r="T224" s="16"/>
      <c r="U224" s="16"/>
      <c r="V224" s="16"/>
      <c r="W224" s="16"/>
      <c r="X224" s="16"/>
      <c r="Y224" s="16"/>
      <c r="Z224" s="17"/>
      <c r="AE224" s="345"/>
    </row>
    <row r="225" spans="1:31" s="59" customFormat="1" ht="29.25" hidden="1" customHeight="1">
      <c r="A225" s="8"/>
      <c r="B225" s="11" t="str">
        <f>+IFERROR(VLOOKUP(C225,Listas!$L$8:$M$101,2,FALSE),"")</f>
        <v>10050101</v>
      </c>
      <c r="C225" s="334" t="s">
        <v>482</v>
      </c>
      <c r="D225" s="274"/>
      <c r="E225" s="275"/>
      <c r="F225" s="629"/>
      <c r="G225" s="385" t="s">
        <v>1159</v>
      </c>
      <c r="H225" s="32" t="str">
        <f>+IF(I225=""," ",VLOOKUP(I225,Listas!$I$12:$J$14,2,FALSE))</f>
        <v>05</v>
      </c>
      <c r="I225" s="502" t="s">
        <v>467</v>
      </c>
      <c r="J225" s="356">
        <f>+IF(K225=""," ",VLOOKUP(K225,PUC!$B:$C,2,FALSE))</f>
        <v>6210022001</v>
      </c>
      <c r="K225" s="342" t="s">
        <v>646</v>
      </c>
      <c r="L225" s="11" t="str">
        <f>+IF(M225=""," ",VLOOKUP(M225,Listas!$F$9:$G$17,2,FALSE))</f>
        <v>03</v>
      </c>
      <c r="M225" s="475" t="s">
        <v>446</v>
      </c>
      <c r="N225" s="345">
        <f t="shared" si="3"/>
        <v>0</v>
      </c>
      <c r="O225" s="15"/>
      <c r="P225" s="16"/>
      <c r="Q225" s="16"/>
      <c r="R225" s="16"/>
      <c r="S225" s="16"/>
      <c r="T225" s="16"/>
      <c r="U225" s="16"/>
      <c r="V225" s="16"/>
      <c r="W225" s="16"/>
      <c r="X225" s="16"/>
      <c r="Y225" s="16"/>
      <c r="Z225" s="17"/>
      <c r="AE225" s="345"/>
    </row>
    <row r="226" spans="1:31" s="59" customFormat="1" ht="29.25" hidden="1" customHeight="1">
      <c r="A226" s="8"/>
      <c r="B226" s="11" t="str">
        <f>+IFERROR(VLOOKUP(C226,Listas!$L$8:$M$101,2,FALSE),"")</f>
        <v>10050101</v>
      </c>
      <c r="C226" s="334" t="s">
        <v>482</v>
      </c>
      <c r="D226" s="274"/>
      <c r="E226" s="275"/>
      <c r="F226" s="627" t="s">
        <v>1152</v>
      </c>
      <c r="G226" s="385" t="s">
        <v>1153</v>
      </c>
      <c r="H226" s="32" t="str">
        <f>+IF(I226=""," ",VLOOKUP(I226,Listas!$I$12:$J$14,2,FALSE))</f>
        <v xml:space="preserve"> </v>
      </c>
      <c r="I226" s="502"/>
      <c r="J226" s="356" t="str">
        <f>+IF(K226=""," ",VLOOKUP(K226,PUC!$B:$C,2,FALSE))</f>
        <v xml:space="preserve"> </v>
      </c>
      <c r="K226" s="342"/>
      <c r="L226" s="11" t="str">
        <f>+IF(M226=""," ",VLOOKUP(M226,Listas!$F$9:$G$17,2,FALSE))</f>
        <v xml:space="preserve"> </v>
      </c>
      <c r="M226" s="475"/>
      <c r="N226" s="345">
        <f t="shared" si="3"/>
        <v>0</v>
      </c>
      <c r="O226" s="15"/>
      <c r="P226" s="16"/>
      <c r="Q226" s="16"/>
      <c r="R226" s="16"/>
      <c r="S226" s="16"/>
      <c r="T226" s="16"/>
      <c r="U226" s="16"/>
      <c r="V226" s="16"/>
      <c r="W226" s="16"/>
      <c r="X226" s="16"/>
      <c r="Y226" s="16"/>
      <c r="Z226" s="17"/>
      <c r="AE226" s="345"/>
    </row>
    <row r="227" spans="1:31" s="59" customFormat="1" ht="29.25" hidden="1" customHeight="1">
      <c r="A227" s="8"/>
      <c r="B227" s="11" t="str">
        <f>+IFERROR(VLOOKUP(C227,Listas!$L$8:$M$101,2,FALSE),"")</f>
        <v>10050101</v>
      </c>
      <c r="C227" s="334" t="s">
        <v>482</v>
      </c>
      <c r="D227" s="274"/>
      <c r="E227" s="275"/>
      <c r="F227" s="628"/>
      <c r="G227" s="385" t="s">
        <v>1159</v>
      </c>
      <c r="H227" s="32" t="str">
        <f>+IF(I227=""," ",VLOOKUP(I227,Listas!$I$12:$J$14,2,FALSE))</f>
        <v>05</v>
      </c>
      <c r="I227" s="502" t="s">
        <v>467</v>
      </c>
      <c r="J227" s="356">
        <f>+IF(K227=""," ",VLOOKUP(K227,PUC!$B:$C,2,FALSE))</f>
        <v>6210021401</v>
      </c>
      <c r="K227" s="342" t="s">
        <v>712</v>
      </c>
      <c r="L227" s="11" t="str">
        <f>+IF(M227=""," ",VLOOKUP(M227,Listas!$F$9:$G$17,2,FALSE))</f>
        <v>03</v>
      </c>
      <c r="M227" s="475" t="s">
        <v>446</v>
      </c>
      <c r="N227" s="345">
        <f t="shared" si="3"/>
        <v>0</v>
      </c>
      <c r="O227" s="15"/>
      <c r="P227" s="16"/>
      <c r="Q227" s="16"/>
      <c r="R227" s="16"/>
      <c r="S227" s="16"/>
      <c r="T227" s="16"/>
      <c r="U227" s="16"/>
      <c r="V227" s="16"/>
      <c r="W227" s="16"/>
      <c r="X227" s="16"/>
      <c r="Y227" s="16"/>
      <c r="Z227" s="17"/>
      <c r="AE227" s="345"/>
    </row>
    <row r="228" spans="1:31" s="59" customFormat="1" ht="29.25" hidden="1" customHeight="1">
      <c r="A228" s="8"/>
      <c r="B228" s="11" t="str">
        <f>+IFERROR(VLOOKUP(C228,Listas!$L$8:$M$101,2,FALSE),"")</f>
        <v>10050101</v>
      </c>
      <c r="C228" s="334" t="s">
        <v>482</v>
      </c>
      <c r="D228" s="274"/>
      <c r="E228" s="275"/>
      <c r="F228" s="628"/>
      <c r="G228" s="385" t="s">
        <v>1159</v>
      </c>
      <c r="H228" s="32" t="str">
        <f>+IF(I228=""," ",VLOOKUP(I228,Listas!$I$12:$J$14,2,FALSE))</f>
        <v>05</v>
      </c>
      <c r="I228" s="502" t="s">
        <v>467</v>
      </c>
      <c r="J228" s="356">
        <f>+IF(K228=""," ",VLOOKUP(K228,PUC!$B:$C,2,FALSE))</f>
        <v>6210020505</v>
      </c>
      <c r="K228" s="342" t="s">
        <v>649</v>
      </c>
      <c r="L228" s="11" t="str">
        <f>+IF(M228=""," ",VLOOKUP(M228,Listas!$F$9:$G$17,2,FALSE))</f>
        <v>03</v>
      </c>
      <c r="M228" s="475" t="s">
        <v>446</v>
      </c>
      <c r="N228" s="345">
        <f t="shared" si="3"/>
        <v>0</v>
      </c>
      <c r="O228" s="15"/>
      <c r="P228" s="16"/>
      <c r="Q228" s="16"/>
      <c r="R228" s="16"/>
      <c r="S228" s="16"/>
      <c r="T228" s="16"/>
      <c r="U228" s="16"/>
      <c r="V228" s="16"/>
      <c r="W228" s="16"/>
      <c r="X228" s="16"/>
      <c r="Y228" s="16"/>
      <c r="Z228" s="17"/>
      <c r="AE228" s="345"/>
    </row>
    <row r="229" spans="1:31" s="59" customFormat="1" ht="29.25" hidden="1" customHeight="1">
      <c r="A229" s="8"/>
      <c r="B229" s="11" t="str">
        <f>+IFERROR(VLOOKUP(C229,Listas!$L$8:$M$101,2,FALSE),"")</f>
        <v>10050101</v>
      </c>
      <c r="C229" s="334" t="s">
        <v>482</v>
      </c>
      <c r="D229" s="274"/>
      <c r="E229" s="275"/>
      <c r="F229" s="628"/>
      <c r="G229" s="385" t="s">
        <v>1159</v>
      </c>
      <c r="H229" s="32" t="str">
        <f>+IF(I229=""," ",VLOOKUP(I229,Listas!$I$12:$J$14,2,FALSE))</f>
        <v>05</v>
      </c>
      <c r="I229" s="502" t="s">
        <v>467</v>
      </c>
      <c r="J229" s="356">
        <f>+IF(K229=""," ",VLOOKUP(K229,PUC!$B:$C,2,FALSE))</f>
        <v>6210020501</v>
      </c>
      <c r="K229" s="342" t="s">
        <v>648</v>
      </c>
      <c r="L229" s="11" t="str">
        <f>+IF(M229=""," ",VLOOKUP(M229,Listas!$F$9:$G$17,2,FALSE))</f>
        <v>03</v>
      </c>
      <c r="M229" s="475" t="s">
        <v>446</v>
      </c>
      <c r="N229" s="345">
        <f t="shared" si="3"/>
        <v>0</v>
      </c>
      <c r="O229" s="15"/>
      <c r="P229" s="16"/>
      <c r="Q229" s="16"/>
      <c r="R229" s="16"/>
      <c r="S229" s="16"/>
      <c r="T229" s="16"/>
      <c r="U229" s="16"/>
      <c r="V229" s="16"/>
      <c r="W229" s="16"/>
      <c r="X229" s="16"/>
      <c r="Y229" s="16"/>
      <c r="Z229" s="17"/>
      <c r="AE229" s="345"/>
    </row>
    <row r="230" spans="1:31" s="59" customFormat="1" ht="29.25" hidden="1" customHeight="1" thickBot="1">
      <c r="A230" s="8"/>
      <c r="B230" s="11" t="str">
        <f>+IFERROR(VLOOKUP(C230,Listas!$L$8:$M$101,2,FALSE),"")</f>
        <v>10050101</v>
      </c>
      <c r="C230" s="334" t="s">
        <v>482</v>
      </c>
      <c r="D230" s="274"/>
      <c r="E230" s="275"/>
      <c r="F230" s="628"/>
      <c r="G230" s="385" t="s">
        <v>1159</v>
      </c>
      <c r="H230" s="32" t="str">
        <f>+IF(I230=""," ",VLOOKUP(I230,Listas!$I$12:$J$14,2,FALSE))</f>
        <v>05</v>
      </c>
      <c r="I230" s="502" t="s">
        <v>467</v>
      </c>
      <c r="J230" s="356">
        <f>+IF(K230=""," ",VLOOKUP(K230,PUC!$B:$C,2,FALSE))</f>
        <v>6210020101</v>
      </c>
      <c r="K230" s="342" t="s">
        <v>640</v>
      </c>
      <c r="L230" s="11" t="str">
        <f>+IF(M230=""," ",VLOOKUP(M230,Listas!$F$9:$G$17,2,FALSE))</f>
        <v>03</v>
      </c>
      <c r="M230" s="475" t="s">
        <v>446</v>
      </c>
      <c r="N230" s="345">
        <f t="shared" si="3"/>
        <v>0</v>
      </c>
      <c r="O230" s="15"/>
      <c r="P230" s="16"/>
      <c r="Q230" s="16"/>
      <c r="R230" s="16"/>
      <c r="S230" s="16"/>
      <c r="T230" s="16"/>
      <c r="U230" s="16"/>
      <c r="V230" s="16"/>
      <c r="W230" s="16"/>
      <c r="X230" s="16"/>
      <c r="Y230" s="16"/>
      <c r="Z230" s="17"/>
      <c r="AE230" s="345"/>
    </row>
    <row r="231" spans="1:31" s="59" customFormat="1" ht="29.25" hidden="1" customHeight="1">
      <c r="A231" s="8"/>
      <c r="B231" s="11" t="str">
        <f>+IFERROR(VLOOKUP(C231,Listas!$L$8:$M$101,2,FALSE),"")</f>
        <v>10050101</v>
      </c>
      <c r="C231" s="334" t="s">
        <v>482</v>
      </c>
      <c r="D231" s="274"/>
      <c r="E231" s="275"/>
      <c r="F231" s="628"/>
      <c r="G231" s="385" t="s">
        <v>1159</v>
      </c>
      <c r="H231" s="32" t="str">
        <f>+IF(I231=""," ",VLOOKUP(I231,Listas!$I$12:$J$14,2,FALSE))</f>
        <v>05</v>
      </c>
      <c r="I231" s="502" t="s">
        <v>467</v>
      </c>
      <c r="J231" s="356">
        <f>+IF(K231=""," ",VLOOKUP(K231,PUC!$B:$C,2,FALSE))</f>
        <v>6210020503</v>
      </c>
      <c r="K231" s="342" t="s">
        <v>650</v>
      </c>
      <c r="L231" s="11" t="str">
        <f>+IF(M231=""," ",VLOOKUP(M231,Listas!$F$9:$G$17,2,FALSE))</f>
        <v>03</v>
      </c>
      <c r="M231" s="475" t="s">
        <v>446</v>
      </c>
      <c r="N231" s="345">
        <f t="shared" si="3"/>
        <v>0</v>
      </c>
      <c r="O231" s="12"/>
      <c r="P231" s="13"/>
      <c r="Q231" s="13"/>
      <c r="R231" s="13"/>
      <c r="S231" s="13"/>
      <c r="T231" s="13"/>
      <c r="U231" s="13"/>
      <c r="V231" s="13"/>
      <c r="W231" s="13"/>
      <c r="X231" s="13"/>
      <c r="Y231" s="13"/>
      <c r="Z231" s="14"/>
      <c r="AE231" s="345"/>
    </row>
    <row r="232" spans="1:31" s="59" customFormat="1" ht="29.25" hidden="1" customHeight="1">
      <c r="A232" s="8"/>
      <c r="B232" s="11" t="str">
        <f>+IFERROR(VLOOKUP(C232,Listas!$L$8:$M$101,2,FALSE),"")</f>
        <v>10050101</v>
      </c>
      <c r="C232" s="334" t="s">
        <v>482</v>
      </c>
      <c r="D232" s="274"/>
      <c r="E232" s="275"/>
      <c r="F232" s="629"/>
      <c r="G232" s="385" t="s">
        <v>1159</v>
      </c>
      <c r="H232" s="32" t="str">
        <f>+IF(I232=""," ",VLOOKUP(I232,Listas!$I$12:$J$14,2,FALSE))</f>
        <v>05</v>
      </c>
      <c r="I232" s="502" t="s">
        <v>467</v>
      </c>
      <c r="J232" s="356">
        <f>+IF(K232=""," ",VLOOKUP(K232,PUC!$B:$C,2,FALSE))</f>
        <v>6210022001</v>
      </c>
      <c r="K232" s="342" t="s">
        <v>646</v>
      </c>
      <c r="L232" s="11" t="str">
        <f>+IF(M232=""," ",VLOOKUP(M232,Listas!$F$9:$G$17,2,FALSE))</f>
        <v>03</v>
      </c>
      <c r="M232" s="475" t="s">
        <v>446</v>
      </c>
      <c r="N232" s="345">
        <f t="shared" si="3"/>
        <v>0</v>
      </c>
      <c r="O232" s="15"/>
      <c r="P232" s="16"/>
      <c r="Q232" s="16"/>
      <c r="R232" s="16"/>
      <c r="S232" s="16"/>
      <c r="T232" s="16"/>
      <c r="U232" s="16"/>
      <c r="V232" s="16"/>
      <c r="W232" s="16"/>
      <c r="X232" s="16"/>
      <c r="Y232" s="16"/>
      <c r="Z232" s="17"/>
      <c r="AE232" s="345"/>
    </row>
    <row r="233" spans="1:31" s="59" customFormat="1" ht="29.25" hidden="1" customHeight="1">
      <c r="A233" s="8"/>
      <c r="B233" s="11" t="str">
        <f>+IFERROR(VLOOKUP(C233,Listas!$L$8:$M$101,2,FALSE),"")</f>
        <v>10050101</v>
      </c>
      <c r="C233" s="334" t="s">
        <v>482</v>
      </c>
      <c r="D233" s="274"/>
      <c r="E233" s="275"/>
      <c r="F233" s="627" t="s">
        <v>1152</v>
      </c>
      <c r="G233" s="385" t="s">
        <v>1153</v>
      </c>
      <c r="H233" s="32" t="str">
        <f>+IF(I233=""," ",VLOOKUP(I233,Listas!$I$12:$J$14,2,FALSE))</f>
        <v xml:space="preserve"> </v>
      </c>
      <c r="I233" s="502"/>
      <c r="J233" s="356" t="str">
        <f>+IF(K233=""," ",VLOOKUP(K233,PUC!$B:$C,2,FALSE))</f>
        <v xml:space="preserve"> </v>
      </c>
      <c r="K233" s="342"/>
      <c r="L233" s="11" t="str">
        <f>+IF(M233=""," ",VLOOKUP(M233,Listas!$F$9:$G$17,2,FALSE))</f>
        <v xml:space="preserve"> </v>
      </c>
      <c r="M233" s="475"/>
      <c r="N233" s="345">
        <f t="shared" si="3"/>
        <v>0</v>
      </c>
      <c r="O233" s="15"/>
      <c r="P233" s="16"/>
      <c r="Q233" s="16"/>
      <c r="R233" s="16"/>
      <c r="S233" s="16"/>
      <c r="T233" s="16"/>
      <c r="U233" s="16"/>
      <c r="V233" s="16"/>
      <c r="W233" s="16"/>
      <c r="X233" s="16"/>
      <c r="Y233" s="16"/>
      <c r="Z233" s="17"/>
      <c r="AE233" s="345"/>
    </row>
    <row r="234" spans="1:31" s="59" customFormat="1" ht="29.25" hidden="1" customHeight="1">
      <c r="A234" s="8"/>
      <c r="B234" s="11" t="str">
        <f>+IFERROR(VLOOKUP(C234,Listas!$L$8:$M$101,2,FALSE),"")</f>
        <v>10050101</v>
      </c>
      <c r="C234" s="334" t="s">
        <v>482</v>
      </c>
      <c r="D234" s="274"/>
      <c r="E234" s="275"/>
      <c r="F234" s="628"/>
      <c r="G234" s="385" t="s">
        <v>1159</v>
      </c>
      <c r="H234" s="32" t="str">
        <f>+IF(I234=""," ",VLOOKUP(I234,Listas!$I$12:$J$14,2,FALSE))</f>
        <v>05</v>
      </c>
      <c r="I234" s="502" t="s">
        <v>467</v>
      </c>
      <c r="J234" s="356">
        <f>+IF(K234=""," ",VLOOKUP(K234,PUC!$B:$C,2,FALSE))</f>
        <v>6210021401</v>
      </c>
      <c r="K234" s="342" t="s">
        <v>712</v>
      </c>
      <c r="L234" s="11" t="str">
        <f>+IF(M234=""," ",VLOOKUP(M234,Listas!$F$9:$G$17,2,FALSE))</f>
        <v>03</v>
      </c>
      <c r="M234" s="475" t="s">
        <v>446</v>
      </c>
      <c r="N234" s="345">
        <f t="shared" si="3"/>
        <v>0</v>
      </c>
      <c r="O234" s="15"/>
      <c r="P234" s="16"/>
      <c r="Q234" s="16"/>
      <c r="R234" s="16"/>
      <c r="S234" s="16"/>
      <c r="T234" s="16"/>
      <c r="U234" s="16"/>
      <c r="V234" s="16"/>
      <c r="W234" s="16"/>
      <c r="X234" s="16"/>
      <c r="Y234" s="16"/>
      <c r="Z234" s="17"/>
      <c r="AE234" s="345"/>
    </row>
    <row r="235" spans="1:31" s="59" customFormat="1" ht="29.25" hidden="1" customHeight="1">
      <c r="A235" s="8"/>
      <c r="B235" s="11" t="str">
        <f>+IFERROR(VLOOKUP(C235,Listas!$L$8:$M$101,2,FALSE),"")</f>
        <v>10050101</v>
      </c>
      <c r="C235" s="334" t="s">
        <v>482</v>
      </c>
      <c r="D235" s="274"/>
      <c r="E235" s="275"/>
      <c r="F235" s="628"/>
      <c r="G235" s="385" t="s">
        <v>1159</v>
      </c>
      <c r="H235" s="32" t="str">
        <f>+IF(I235=""," ",VLOOKUP(I235,Listas!$I$12:$J$14,2,FALSE))</f>
        <v>05</v>
      </c>
      <c r="I235" s="502" t="s">
        <v>467</v>
      </c>
      <c r="J235" s="356">
        <f>+IF(K235=""," ",VLOOKUP(K235,PUC!$B:$C,2,FALSE))</f>
        <v>6210020505</v>
      </c>
      <c r="K235" s="342" t="s">
        <v>649</v>
      </c>
      <c r="L235" s="11" t="str">
        <f>+IF(M235=""," ",VLOOKUP(M235,Listas!$F$9:$G$17,2,FALSE))</f>
        <v>03</v>
      </c>
      <c r="M235" s="475" t="s">
        <v>446</v>
      </c>
      <c r="N235" s="345">
        <f t="shared" si="3"/>
        <v>0</v>
      </c>
      <c r="O235" s="15"/>
      <c r="P235" s="16"/>
      <c r="Q235" s="16"/>
      <c r="R235" s="16"/>
      <c r="S235" s="16"/>
      <c r="T235" s="16"/>
      <c r="U235" s="16"/>
      <c r="V235" s="16"/>
      <c r="W235" s="16"/>
      <c r="X235" s="16"/>
      <c r="Y235" s="16"/>
      <c r="Z235" s="17"/>
      <c r="AE235" s="345"/>
    </row>
    <row r="236" spans="1:31" s="59" customFormat="1" ht="29.25" hidden="1" customHeight="1">
      <c r="A236" s="8"/>
      <c r="B236" s="11" t="str">
        <f>+IFERROR(VLOOKUP(C236,Listas!$L$8:$M$101,2,FALSE),"")</f>
        <v>10050101</v>
      </c>
      <c r="C236" s="334" t="s">
        <v>482</v>
      </c>
      <c r="D236" s="274"/>
      <c r="E236" s="275"/>
      <c r="F236" s="628"/>
      <c r="G236" s="385" t="s">
        <v>1159</v>
      </c>
      <c r="H236" s="32" t="str">
        <f>+IF(I236=""," ",VLOOKUP(I236,Listas!$I$12:$J$14,2,FALSE))</f>
        <v>05</v>
      </c>
      <c r="I236" s="502" t="s">
        <v>467</v>
      </c>
      <c r="J236" s="356">
        <f>+IF(K236=""," ",VLOOKUP(K236,PUC!$B:$C,2,FALSE))</f>
        <v>6210020501</v>
      </c>
      <c r="K236" s="342" t="s">
        <v>648</v>
      </c>
      <c r="L236" s="11" t="str">
        <f>+IF(M236=""," ",VLOOKUP(M236,Listas!$F$9:$G$17,2,FALSE))</f>
        <v>03</v>
      </c>
      <c r="M236" s="475" t="s">
        <v>446</v>
      </c>
      <c r="N236" s="345">
        <f t="shared" si="3"/>
        <v>0</v>
      </c>
      <c r="O236" s="15"/>
      <c r="P236" s="16"/>
      <c r="Q236" s="16"/>
      <c r="R236" s="16"/>
      <c r="S236" s="16"/>
      <c r="T236" s="16"/>
      <c r="U236" s="16"/>
      <c r="V236" s="16"/>
      <c r="W236" s="16"/>
      <c r="X236" s="16"/>
      <c r="Y236" s="16"/>
      <c r="Z236" s="17"/>
      <c r="AE236" s="345"/>
    </row>
    <row r="237" spans="1:31" s="59" customFormat="1" ht="29.25" hidden="1" customHeight="1">
      <c r="A237" s="8"/>
      <c r="B237" s="11" t="str">
        <f>+IFERROR(VLOOKUP(C237,Listas!$L$8:$M$101,2,FALSE),"")</f>
        <v>10050101</v>
      </c>
      <c r="C237" s="334" t="s">
        <v>482</v>
      </c>
      <c r="D237" s="274"/>
      <c r="E237" s="275"/>
      <c r="F237" s="628"/>
      <c r="G237" s="385" t="s">
        <v>1159</v>
      </c>
      <c r="H237" s="32" t="str">
        <f>+IF(I237=""," ",VLOOKUP(I237,Listas!$I$12:$J$14,2,FALSE))</f>
        <v>05</v>
      </c>
      <c r="I237" s="502" t="s">
        <v>467</v>
      </c>
      <c r="J237" s="356">
        <f>+IF(K237=""," ",VLOOKUP(K237,PUC!$B:$C,2,FALSE))</f>
        <v>6210020101</v>
      </c>
      <c r="K237" s="342" t="s">
        <v>640</v>
      </c>
      <c r="L237" s="11" t="str">
        <f>+IF(M237=""," ",VLOOKUP(M237,Listas!$F$9:$G$17,2,FALSE))</f>
        <v>03</v>
      </c>
      <c r="M237" s="475" t="s">
        <v>446</v>
      </c>
      <c r="N237" s="345">
        <f t="shared" si="3"/>
        <v>0</v>
      </c>
      <c r="O237" s="15"/>
      <c r="P237" s="16"/>
      <c r="Q237" s="16"/>
      <c r="R237" s="16"/>
      <c r="S237" s="16"/>
      <c r="T237" s="16"/>
      <c r="U237" s="16"/>
      <c r="V237" s="16"/>
      <c r="W237" s="16"/>
      <c r="X237" s="16"/>
      <c r="Y237" s="16"/>
      <c r="Z237" s="17"/>
      <c r="AE237" s="345"/>
    </row>
    <row r="238" spans="1:31" s="59" customFormat="1" ht="29.25" hidden="1" customHeight="1">
      <c r="A238" s="8"/>
      <c r="B238" s="11" t="str">
        <f>+IFERROR(VLOOKUP(C238,Listas!$L$8:$M$101,2,FALSE),"")</f>
        <v>10050101</v>
      </c>
      <c r="C238" s="334" t="s">
        <v>482</v>
      </c>
      <c r="D238" s="274"/>
      <c r="E238" s="275"/>
      <c r="F238" s="628"/>
      <c r="G238" s="385" t="s">
        <v>1159</v>
      </c>
      <c r="H238" s="32" t="str">
        <f>+IF(I238=""," ",VLOOKUP(I238,Listas!$I$12:$J$14,2,FALSE))</f>
        <v>05</v>
      </c>
      <c r="I238" s="502" t="s">
        <v>467</v>
      </c>
      <c r="J238" s="356">
        <f>+IF(K238=""," ",VLOOKUP(K238,PUC!$B:$C,2,FALSE))</f>
        <v>6210020503</v>
      </c>
      <c r="K238" s="342" t="s">
        <v>650</v>
      </c>
      <c r="L238" s="11" t="str">
        <f>+IF(M238=""," ",VLOOKUP(M238,Listas!$F$9:$G$17,2,FALSE))</f>
        <v>03</v>
      </c>
      <c r="M238" s="475" t="s">
        <v>446</v>
      </c>
      <c r="N238" s="345">
        <f t="shared" si="3"/>
        <v>0</v>
      </c>
      <c r="O238" s="15"/>
      <c r="P238" s="16"/>
      <c r="Q238" s="16"/>
      <c r="R238" s="16"/>
      <c r="S238" s="16"/>
      <c r="T238" s="16"/>
      <c r="U238" s="16"/>
      <c r="V238" s="16"/>
      <c r="W238" s="16"/>
      <c r="X238" s="16"/>
      <c r="Y238" s="16"/>
      <c r="Z238" s="17"/>
      <c r="AE238" s="345"/>
    </row>
    <row r="239" spans="1:31" s="59" customFormat="1" ht="29.25" hidden="1" customHeight="1">
      <c r="A239" s="8"/>
      <c r="B239" s="11" t="str">
        <f>+IFERROR(VLOOKUP(C239,Listas!$L$8:$M$101,2,FALSE),"")</f>
        <v>10050101</v>
      </c>
      <c r="C239" s="334" t="s">
        <v>482</v>
      </c>
      <c r="D239" s="274"/>
      <c r="E239" s="275"/>
      <c r="F239" s="629"/>
      <c r="G239" s="385" t="s">
        <v>1159</v>
      </c>
      <c r="H239" s="32" t="str">
        <f>+IF(I239=""," ",VLOOKUP(I239,Listas!$I$12:$J$14,2,FALSE))</f>
        <v>05</v>
      </c>
      <c r="I239" s="502" t="s">
        <v>467</v>
      </c>
      <c r="J239" s="356">
        <f>+IF(K239=""," ",VLOOKUP(K239,PUC!$B:$C,2,FALSE))</f>
        <v>6210022001</v>
      </c>
      <c r="K239" s="342" t="s">
        <v>646</v>
      </c>
      <c r="L239" s="11" t="str">
        <f>+IF(M239=""," ",VLOOKUP(M239,Listas!$F$9:$G$17,2,FALSE))</f>
        <v>03</v>
      </c>
      <c r="M239" s="475" t="s">
        <v>446</v>
      </c>
      <c r="N239" s="345">
        <f t="shared" si="3"/>
        <v>0</v>
      </c>
      <c r="O239" s="15"/>
      <c r="P239" s="16"/>
      <c r="Q239" s="16"/>
      <c r="R239" s="16"/>
      <c r="S239" s="16"/>
      <c r="T239" s="16"/>
      <c r="U239" s="16"/>
      <c r="V239" s="16"/>
      <c r="W239" s="16"/>
      <c r="X239" s="16"/>
      <c r="Y239" s="16"/>
      <c r="Z239" s="17"/>
      <c r="AE239" s="345"/>
    </row>
    <row r="240" spans="1:31" s="59" customFormat="1" ht="29.25" hidden="1" customHeight="1">
      <c r="A240" s="8"/>
      <c r="B240" s="11" t="str">
        <f>+IFERROR(VLOOKUP(C240,Listas!$L$8:$M$101,2,FALSE),"")</f>
        <v>10050101</v>
      </c>
      <c r="C240" s="334" t="s">
        <v>482</v>
      </c>
      <c r="D240" s="274"/>
      <c r="E240" s="275"/>
      <c r="F240" s="274"/>
      <c r="G240" s="275"/>
      <c r="H240" s="9"/>
      <c r="I240" s="495"/>
      <c r="J240" s="10"/>
      <c r="K240" s="334"/>
      <c r="L240" s="11" t="str">
        <f>+IF(M240=""," ",VLOOKUP(M240,Listas!$F$9:$G$17,2,FALSE))</f>
        <v>03</v>
      </c>
      <c r="M240" s="475" t="s">
        <v>446</v>
      </c>
      <c r="N240" s="345">
        <f t="shared" si="3"/>
        <v>0</v>
      </c>
      <c r="O240" s="15"/>
      <c r="P240" s="16"/>
      <c r="Q240" s="16"/>
      <c r="R240" s="16"/>
      <c r="S240" s="16"/>
      <c r="T240" s="16"/>
      <c r="U240" s="16"/>
      <c r="V240" s="16"/>
      <c r="W240" s="16"/>
      <c r="X240" s="16"/>
      <c r="Y240" s="16"/>
      <c r="Z240" s="17"/>
      <c r="AE240" s="345"/>
    </row>
    <row r="241" spans="1:31" s="59" customFormat="1" ht="29.25" hidden="1" customHeight="1">
      <c r="A241" s="8"/>
      <c r="B241" s="11" t="str">
        <f>+IFERROR(VLOOKUP(C241,Listas!$L$8:$M$101,2,FALSE),"")</f>
        <v>10050101</v>
      </c>
      <c r="C241" s="334" t="s">
        <v>482</v>
      </c>
      <c r="D241" s="274"/>
      <c r="E241" s="275"/>
      <c r="F241" s="274"/>
      <c r="G241" s="275"/>
      <c r="H241" s="9"/>
      <c r="I241" s="495"/>
      <c r="J241" s="10"/>
      <c r="K241" s="334"/>
      <c r="L241" s="11" t="str">
        <f>+IF(M241=""," ",VLOOKUP(M241,Listas!$F$9:$G$17,2,FALSE))</f>
        <v>03</v>
      </c>
      <c r="M241" s="475" t="s">
        <v>446</v>
      </c>
      <c r="N241" s="345">
        <f t="shared" si="3"/>
        <v>0</v>
      </c>
      <c r="O241" s="15"/>
      <c r="P241" s="16"/>
      <c r="Q241" s="16"/>
      <c r="R241" s="16"/>
      <c r="S241" s="16"/>
      <c r="T241" s="16"/>
      <c r="U241" s="16"/>
      <c r="V241" s="16"/>
      <c r="W241" s="16"/>
      <c r="X241" s="16"/>
      <c r="Y241" s="16"/>
      <c r="Z241" s="17"/>
      <c r="AE241" s="345"/>
    </row>
    <row r="242" spans="1:31" s="59" customFormat="1" ht="29.25" hidden="1" customHeight="1">
      <c r="A242" s="8"/>
      <c r="B242" s="11" t="str">
        <f>+IFERROR(VLOOKUP(C242,Listas!$L$8:$M$101,2,FALSE),"")</f>
        <v>10050101</v>
      </c>
      <c r="C242" s="334" t="s">
        <v>482</v>
      </c>
      <c r="D242" s="274"/>
      <c r="E242" s="275"/>
      <c r="F242" s="274"/>
      <c r="G242" s="275"/>
      <c r="H242" s="9"/>
      <c r="I242" s="495"/>
      <c r="J242" s="10"/>
      <c r="K242" s="334"/>
      <c r="L242" s="11" t="str">
        <f>+IF(M242=""," ",VLOOKUP(M242,Listas!$F$9:$G$17,2,FALSE))</f>
        <v>03</v>
      </c>
      <c r="M242" s="475" t="s">
        <v>446</v>
      </c>
      <c r="N242" s="345">
        <f t="shared" si="3"/>
        <v>0</v>
      </c>
      <c r="O242" s="15"/>
      <c r="P242" s="16"/>
      <c r="Q242" s="16"/>
      <c r="R242" s="16"/>
      <c r="S242" s="16"/>
      <c r="T242" s="16"/>
      <c r="U242" s="16"/>
      <c r="V242" s="16"/>
      <c r="W242" s="16"/>
      <c r="X242" s="16"/>
      <c r="Y242" s="16"/>
      <c r="Z242" s="17"/>
      <c r="AE242" s="345"/>
    </row>
    <row r="243" spans="1:31" s="59" customFormat="1" ht="29.25" hidden="1" customHeight="1">
      <c r="A243" s="8"/>
      <c r="B243" s="11" t="str">
        <f>+IFERROR(VLOOKUP(C243,Listas!$L$8:$M$101,2,FALSE),"")</f>
        <v>10050101</v>
      </c>
      <c r="C243" s="334" t="s">
        <v>482</v>
      </c>
      <c r="D243" s="274"/>
      <c r="E243" s="275"/>
      <c r="F243" s="274"/>
      <c r="G243" s="275"/>
      <c r="H243" s="9"/>
      <c r="I243" s="495"/>
      <c r="J243" s="10"/>
      <c r="K243" s="334"/>
      <c r="L243" s="11" t="str">
        <f>+IF(M243=""," ",VLOOKUP(M243,Listas!$F$9:$G$17,2,FALSE))</f>
        <v>03</v>
      </c>
      <c r="M243" s="475" t="s">
        <v>446</v>
      </c>
      <c r="N243" s="345">
        <f t="shared" si="3"/>
        <v>0</v>
      </c>
      <c r="O243" s="15"/>
      <c r="P243" s="16"/>
      <c r="Q243" s="16"/>
      <c r="R243" s="16"/>
      <c r="S243" s="16"/>
      <c r="T243" s="16"/>
      <c r="U243" s="16"/>
      <c r="V243" s="16"/>
      <c r="W243" s="16"/>
      <c r="X243" s="16"/>
      <c r="Y243" s="16"/>
      <c r="Z243" s="17"/>
      <c r="AE243" s="345"/>
    </row>
    <row r="244" spans="1:31" s="59" customFormat="1" ht="29.25" hidden="1" customHeight="1">
      <c r="A244" s="8"/>
      <c r="B244" s="11" t="str">
        <f>+IFERROR(VLOOKUP(C244,Listas!$L$8:$M$101,2,FALSE),"")</f>
        <v>10050101</v>
      </c>
      <c r="C244" s="334" t="s">
        <v>482</v>
      </c>
      <c r="D244" s="274"/>
      <c r="E244" s="275"/>
      <c r="F244" s="274"/>
      <c r="G244" s="275"/>
      <c r="H244" s="9"/>
      <c r="I244" s="495"/>
      <c r="J244" s="10"/>
      <c r="K244" s="334"/>
      <c r="L244" s="11" t="str">
        <f>+IF(M244=""," ",VLOOKUP(M244,Listas!$F$9:$G$17,2,FALSE))</f>
        <v>03</v>
      </c>
      <c r="M244" s="475" t="s">
        <v>446</v>
      </c>
      <c r="N244" s="345">
        <f t="shared" si="3"/>
        <v>0</v>
      </c>
      <c r="O244" s="15"/>
      <c r="P244" s="16"/>
      <c r="Q244" s="16"/>
      <c r="R244" s="16"/>
      <c r="S244" s="16"/>
      <c r="T244" s="16"/>
      <c r="U244" s="16"/>
      <c r="V244" s="16"/>
      <c r="W244" s="16"/>
      <c r="X244" s="16"/>
      <c r="Y244" s="16"/>
      <c r="Z244" s="17"/>
      <c r="AE244" s="345"/>
    </row>
    <row r="245" spans="1:31" s="59" customFormat="1" ht="29.25" hidden="1" customHeight="1">
      <c r="A245" s="8"/>
      <c r="B245" s="11" t="str">
        <f>+IFERROR(VLOOKUP(C245,Listas!$L$8:$M$101,2,FALSE),"")</f>
        <v>10050101</v>
      </c>
      <c r="C245" s="334" t="s">
        <v>482</v>
      </c>
      <c r="D245" s="274"/>
      <c r="E245" s="275"/>
      <c r="F245" s="274"/>
      <c r="G245" s="275"/>
      <c r="H245" s="9"/>
      <c r="I245" s="495"/>
      <c r="J245" s="10"/>
      <c r="K245" s="334"/>
      <c r="L245" s="11" t="str">
        <f>+IF(M245=""," ",VLOOKUP(M245,Listas!$F$9:$G$17,2,FALSE))</f>
        <v>03</v>
      </c>
      <c r="M245" s="475" t="s">
        <v>446</v>
      </c>
      <c r="N245" s="345">
        <f t="shared" si="3"/>
        <v>0</v>
      </c>
      <c r="O245" s="15"/>
      <c r="P245" s="16"/>
      <c r="Q245" s="16"/>
      <c r="R245" s="16"/>
      <c r="S245" s="16"/>
      <c r="T245" s="16"/>
      <c r="U245" s="16"/>
      <c r="V245" s="16"/>
      <c r="W245" s="16"/>
      <c r="X245" s="16"/>
      <c r="Y245" s="16"/>
      <c r="Z245" s="17"/>
      <c r="AE245" s="345"/>
    </row>
    <row r="246" spans="1:31" s="59" customFormat="1" ht="29.25" hidden="1" customHeight="1">
      <c r="A246" s="8"/>
      <c r="B246" s="11" t="str">
        <f>+IFERROR(VLOOKUP(C246,Listas!$L$8:$M$101,2,FALSE),"")</f>
        <v>10050101</v>
      </c>
      <c r="C246" s="334" t="s">
        <v>482</v>
      </c>
      <c r="D246" s="274"/>
      <c r="E246" s="275"/>
      <c r="F246" s="274"/>
      <c r="G246" s="275"/>
      <c r="H246" s="9"/>
      <c r="I246" s="495"/>
      <c r="J246" s="10"/>
      <c r="K246" s="334"/>
      <c r="L246" s="11" t="str">
        <f>+IF(M246=""," ",VLOOKUP(M246,Listas!$F$9:$G$17,2,FALSE))</f>
        <v>03</v>
      </c>
      <c r="M246" s="475" t="s">
        <v>446</v>
      </c>
      <c r="N246" s="345">
        <f t="shared" si="3"/>
        <v>0</v>
      </c>
      <c r="O246" s="15"/>
      <c r="P246" s="16"/>
      <c r="Q246" s="16"/>
      <c r="R246" s="16"/>
      <c r="S246" s="16"/>
      <c r="T246" s="16"/>
      <c r="U246" s="16"/>
      <c r="V246" s="16"/>
      <c r="W246" s="16"/>
      <c r="X246" s="16"/>
      <c r="Y246" s="16"/>
      <c r="Z246" s="17"/>
      <c r="AE246" s="345"/>
    </row>
    <row r="247" spans="1:31" s="59" customFormat="1" ht="29.25" hidden="1" customHeight="1">
      <c r="A247" s="8"/>
      <c r="B247" s="11" t="str">
        <f>+IFERROR(VLOOKUP(C247,Listas!$L$8:$M$101,2,FALSE),"")</f>
        <v>10050101</v>
      </c>
      <c r="C247" s="334" t="s">
        <v>482</v>
      </c>
      <c r="D247" s="274"/>
      <c r="E247" s="275"/>
      <c r="F247" s="274"/>
      <c r="G247" s="275"/>
      <c r="H247" s="9"/>
      <c r="I247" s="495"/>
      <c r="J247" s="10"/>
      <c r="K247" s="334"/>
      <c r="L247" s="11" t="str">
        <f>+IF(M247=""," ",VLOOKUP(M247,Listas!$F$9:$G$17,2,FALSE))</f>
        <v>03</v>
      </c>
      <c r="M247" s="475" t="s">
        <v>446</v>
      </c>
      <c r="N247" s="345">
        <f t="shared" si="3"/>
        <v>0</v>
      </c>
      <c r="O247" s="15"/>
      <c r="P247" s="16"/>
      <c r="Q247" s="16"/>
      <c r="R247" s="16"/>
      <c r="S247" s="16"/>
      <c r="T247" s="16"/>
      <c r="U247" s="16"/>
      <c r="V247" s="16"/>
      <c r="W247" s="16"/>
      <c r="X247" s="16"/>
      <c r="Y247" s="16"/>
      <c r="Z247" s="17"/>
      <c r="AE247" s="345"/>
    </row>
    <row r="248" spans="1:31" s="59" customFormat="1" ht="29.25" hidden="1" customHeight="1">
      <c r="A248" s="8"/>
      <c r="B248" s="11" t="str">
        <f>+IFERROR(VLOOKUP(C248,Listas!$L$8:$M$101,2,FALSE),"")</f>
        <v>10050101</v>
      </c>
      <c r="C248" s="334" t="s">
        <v>482</v>
      </c>
      <c r="D248" s="274"/>
      <c r="E248" s="275"/>
      <c r="F248" s="274"/>
      <c r="G248" s="275"/>
      <c r="H248" s="9"/>
      <c r="I248" s="495"/>
      <c r="J248" s="10"/>
      <c r="K248" s="334"/>
      <c r="L248" s="11" t="str">
        <f>+IF(M248=""," ",VLOOKUP(M248,Listas!$F$9:$G$17,2,FALSE))</f>
        <v>03</v>
      </c>
      <c r="M248" s="475" t="s">
        <v>446</v>
      </c>
      <c r="N248" s="345">
        <f t="shared" si="3"/>
        <v>0</v>
      </c>
      <c r="O248" s="15"/>
      <c r="P248" s="16"/>
      <c r="Q248" s="16"/>
      <c r="R248" s="16"/>
      <c r="S248" s="16"/>
      <c r="T248" s="16"/>
      <c r="U248" s="16"/>
      <c r="V248" s="16"/>
      <c r="W248" s="16"/>
      <c r="X248" s="16"/>
      <c r="Y248" s="16"/>
      <c r="Z248" s="17"/>
      <c r="AE248" s="345"/>
    </row>
    <row r="249" spans="1:31" s="59" customFormat="1" ht="29.25" hidden="1" customHeight="1">
      <c r="A249" s="8"/>
      <c r="B249" s="11" t="str">
        <f>+IFERROR(VLOOKUP(C249,Listas!$L$8:$M$101,2,FALSE),"")</f>
        <v>10050101</v>
      </c>
      <c r="C249" s="334" t="s">
        <v>482</v>
      </c>
      <c r="D249" s="274"/>
      <c r="E249" s="275"/>
      <c r="F249" s="274"/>
      <c r="G249" s="275"/>
      <c r="H249" s="9"/>
      <c r="I249" s="495"/>
      <c r="J249" s="10"/>
      <c r="K249" s="334"/>
      <c r="L249" s="11" t="str">
        <f>+IF(M249=""," ",VLOOKUP(M249,Listas!$F$9:$G$17,2,FALSE))</f>
        <v>03</v>
      </c>
      <c r="M249" s="475" t="s">
        <v>446</v>
      </c>
      <c r="N249" s="345">
        <f t="shared" si="3"/>
        <v>0</v>
      </c>
      <c r="O249" s="15"/>
      <c r="P249" s="16"/>
      <c r="Q249" s="16"/>
      <c r="R249" s="16"/>
      <c r="S249" s="16"/>
      <c r="T249" s="16"/>
      <c r="U249" s="16"/>
      <c r="V249" s="16"/>
      <c r="W249" s="16"/>
      <c r="X249" s="16"/>
      <c r="Y249" s="16"/>
      <c r="Z249" s="17"/>
      <c r="AE249" s="345"/>
    </row>
    <row r="250" spans="1:31" s="59" customFormat="1" ht="29.25" hidden="1" customHeight="1" thickBot="1">
      <c r="A250" s="8"/>
      <c r="B250" s="22" t="str">
        <f>+IFERROR(VLOOKUP(C250,Listas!$L$8:$M$101,2,FALSE),"")</f>
        <v>10050101</v>
      </c>
      <c r="C250" s="340" t="s">
        <v>482</v>
      </c>
      <c r="D250" s="278"/>
      <c r="E250" s="279"/>
      <c r="F250" s="278"/>
      <c r="G250" s="279"/>
      <c r="H250" s="9"/>
      <c r="I250" s="495"/>
      <c r="J250" s="10"/>
      <c r="K250" s="334"/>
      <c r="L250" s="11" t="str">
        <f>+IF(M250=""," ",VLOOKUP(M250,Listas!$F$9:$G$17,2,FALSE))</f>
        <v>03</v>
      </c>
      <c r="M250" s="475" t="s">
        <v>446</v>
      </c>
      <c r="N250" s="345">
        <f t="shared" si="3"/>
        <v>0</v>
      </c>
      <c r="O250" s="23"/>
      <c r="P250" s="24"/>
      <c r="Q250" s="24"/>
      <c r="R250" s="24"/>
      <c r="S250" s="24"/>
      <c r="T250" s="24"/>
      <c r="U250" s="24"/>
      <c r="V250" s="24"/>
      <c r="W250" s="24"/>
      <c r="X250" s="24"/>
      <c r="Y250" s="24"/>
      <c r="Z250" s="25"/>
      <c r="AE250" s="345"/>
    </row>
    <row r="251" spans="1:31" s="59" customFormat="1" ht="38.25" customHeight="1">
      <c r="A251" s="8"/>
      <c r="B251" s="33" t="str">
        <f>+IFERROR(VLOOKUP(C251,Listas!$L$8:$M$101,2,FALSE),"")</f>
        <v>10050102</v>
      </c>
      <c r="C251" s="342" t="s">
        <v>483</v>
      </c>
      <c r="D251" s="276"/>
      <c r="E251" s="277"/>
      <c r="F251" s="631" t="s">
        <v>1161</v>
      </c>
      <c r="G251" s="385" t="s">
        <v>1162</v>
      </c>
      <c r="H251" s="18" t="str">
        <f>+IF(I251=""," ",VLOOKUP(I251,Listas!$I$12:$J$14,2,FALSE))</f>
        <v>05</v>
      </c>
      <c r="I251" s="497" t="s">
        <v>467</v>
      </c>
      <c r="J251" s="19">
        <f>+IF(K251=""," ",VLOOKUP(K251,PUC!$B:$C,2,FALSE))</f>
        <v>6210021401</v>
      </c>
      <c r="K251" s="339" t="s">
        <v>712</v>
      </c>
      <c r="L251" s="20" t="str">
        <f>+IF(M251=""," ",VLOOKUP(M251,Listas!$F$9:$G$17,2,FALSE))</f>
        <v>03</v>
      </c>
      <c r="M251" s="477" t="s">
        <v>446</v>
      </c>
      <c r="N251" s="346">
        <f t="shared" si="3"/>
        <v>0</v>
      </c>
      <c r="O251" s="12"/>
      <c r="P251" s="13"/>
      <c r="Q251" s="13"/>
      <c r="R251" s="13"/>
      <c r="S251" s="13"/>
      <c r="T251" s="13"/>
      <c r="U251" s="13"/>
      <c r="V251" s="13"/>
      <c r="W251" s="13"/>
      <c r="X251" s="13"/>
      <c r="Y251" s="13"/>
      <c r="Z251" s="14"/>
      <c r="AE251" s="346"/>
    </row>
    <row r="252" spans="1:31" s="59" customFormat="1" ht="33.75">
      <c r="A252" s="8"/>
      <c r="B252" s="11" t="str">
        <f>+IFERROR(VLOOKUP(C252,Listas!$L$8:$M$101,2,FALSE),"")</f>
        <v>10050102</v>
      </c>
      <c r="C252" s="334" t="s">
        <v>483</v>
      </c>
      <c r="D252" s="274"/>
      <c r="E252" s="275"/>
      <c r="F252" s="632"/>
      <c r="G252" s="385" t="s">
        <v>1345</v>
      </c>
      <c r="H252" s="9" t="str">
        <f>+IF(I252=""," ",VLOOKUP(I252,Listas!$I$12:$J$14,2,FALSE))</f>
        <v>05</v>
      </c>
      <c r="I252" s="495" t="s">
        <v>467</v>
      </c>
      <c r="J252" s="10">
        <f>+IF(K252=""," ",VLOOKUP(K252,PUC!$B:$C,2,FALSE))</f>
        <v>6210020203</v>
      </c>
      <c r="K252" s="334" t="s">
        <v>656</v>
      </c>
      <c r="L252" s="11" t="str">
        <f>+IF(M252=""," ",VLOOKUP(M252,Listas!$F$9:$G$17,2,FALSE))</f>
        <v>03</v>
      </c>
      <c r="M252" s="475" t="s">
        <v>446</v>
      </c>
      <c r="N252" s="345">
        <f t="shared" si="3"/>
        <v>2000000</v>
      </c>
      <c r="O252" s="15"/>
      <c r="P252" s="16"/>
      <c r="Q252" s="16"/>
      <c r="R252" s="16"/>
      <c r="S252" s="16"/>
      <c r="T252" s="16"/>
      <c r="U252" s="16"/>
      <c r="V252" s="16"/>
      <c r="W252" s="16"/>
      <c r="X252" s="16"/>
      <c r="Y252" s="16"/>
      <c r="Z252" s="17"/>
      <c r="AE252" s="345">
        <f>2000000*5</f>
        <v>10000000</v>
      </c>
    </row>
    <row r="253" spans="1:31" s="59" customFormat="1" ht="33.75">
      <c r="A253" s="8"/>
      <c r="B253" s="11" t="str">
        <f>+IFERROR(VLOOKUP(C253,Listas!$L$8:$M$101,2,FALSE),"")</f>
        <v>10050102</v>
      </c>
      <c r="C253" s="334" t="s">
        <v>483</v>
      </c>
      <c r="D253" s="274"/>
      <c r="E253" s="275"/>
      <c r="F253" s="632"/>
      <c r="G253" s="385" t="s">
        <v>1346</v>
      </c>
      <c r="H253" s="9" t="str">
        <f>+IF(I253=""," ",VLOOKUP(I253,Listas!$I$12:$J$14,2,FALSE))</f>
        <v>05</v>
      </c>
      <c r="I253" s="495" t="s">
        <v>467</v>
      </c>
      <c r="J253" s="10">
        <f>+IF(K253=""," ",VLOOKUP(K253,PUC!$B:$C,2,FALSE))</f>
        <v>6210020101</v>
      </c>
      <c r="K253" s="334" t="s">
        <v>640</v>
      </c>
      <c r="L253" s="11" t="str">
        <f>+IF(M253=""," ",VLOOKUP(M253,Listas!$F$9:$G$17,2,FALSE))</f>
        <v>03</v>
      </c>
      <c r="M253" s="475" t="s">
        <v>446</v>
      </c>
      <c r="N253" s="345">
        <f t="shared" si="3"/>
        <v>2000000</v>
      </c>
      <c r="O253" s="15"/>
      <c r="P253" s="16"/>
      <c r="Q253" s="16"/>
      <c r="R253" s="16"/>
      <c r="S253" s="16"/>
      <c r="T253" s="16"/>
      <c r="U253" s="16"/>
      <c r="V253" s="16"/>
      <c r="W253" s="16"/>
      <c r="X253" s="16"/>
      <c r="Y253" s="16"/>
      <c r="Z253" s="17"/>
      <c r="AE253" s="345">
        <f>2000000*5</f>
        <v>10000000</v>
      </c>
    </row>
    <row r="254" spans="1:31" s="59" customFormat="1" ht="25.5">
      <c r="A254" s="8"/>
      <c r="B254" s="11" t="str">
        <f>+IFERROR(VLOOKUP(C254,Listas!$L$8:$M$101,2,FALSE),"")</f>
        <v>10050102</v>
      </c>
      <c r="C254" s="334" t="s">
        <v>483</v>
      </c>
      <c r="D254" s="274"/>
      <c r="E254" s="275"/>
      <c r="F254" s="632"/>
      <c r="G254" s="385" t="s">
        <v>1347</v>
      </c>
      <c r="H254" s="9" t="str">
        <f>+IF(I254=""," ",VLOOKUP(I254,Listas!$I$12:$J$14,2,FALSE))</f>
        <v>06</v>
      </c>
      <c r="I254" s="495" t="s">
        <v>468</v>
      </c>
      <c r="J254" s="10">
        <f>+IF(K254=""," ",VLOOKUP(K254,PUC!$B:$C,2,FALSE))</f>
        <v>6210021103</v>
      </c>
      <c r="K254" s="334" t="s">
        <v>950</v>
      </c>
      <c r="L254" s="11" t="str">
        <f>+IF(M254=""," ",VLOOKUP(M254,Listas!$F$9:$G$17,2,FALSE))</f>
        <v>03</v>
      </c>
      <c r="M254" s="475" t="s">
        <v>446</v>
      </c>
      <c r="N254" s="345">
        <f t="shared" si="3"/>
        <v>6000000</v>
      </c>
      <c r="O254" s="15"/>
      <c r="P254" s="16"/>
      <c r="Q254" s="16"/>
      <c r="R254" s="16"/>
      <c r="S254" s="16"/>
      <c r="T254" s="16"/>
      <c r="U254" s="16"/>
      <c r="V254" s="16"/>
      <c r="W254" s="16"/>
      <c r="X254" s="16"/>
      <c r="Y254" s="16"/>
      <c r="Z254" s="17"/>
      <c r="AE254" s="345">
        <f>6000000*5</f>
        <v>30000000</v>
      </c>
    </row>
    <row r="255" spans="1:31" s="59" customFormat="1" ht="33.75">
      <c r="A255" s="8"/>
      <c r="B255" s="11" t="str">
        <f>+IFERROR(VLOOKUP(C255,Listas!$L$8:$M$101,2,FALSE),"")</f>
        <v>10050102</v>
      </c>
      <c r="C255" s="334" t="s">
        <v>483</v>
      </c>
      <c r="D255" s="274"/>
      <c r="E255" s="275"/>
      <c r="F255" s="632"/>
      <c r="G255" s="385" t="s">
        <v>1348</v>
      </c>
      <c r="H255" s="9" t="str">
        <f>+IF(I255=""," ",VLOOKUP(I255,Listas!$I$12:$J$14,2,FALSE))</f>
        <v>05</v>
      </c>
      <c r="I255" s="495" t="s">
        <v>467</v>
      </c>
      <c r="J255" s="10">
        <f>+IF(K255=""," ",VLOOKUP(K255,PUC!$B:$C,2,FALSE))</f>
        <v>6210020203</v>
      </c>
      <c r="K255" s="334" t="s">
        <v>656</v>
      </c>
      <c r="L255" s="11" t="str">
        <f>+IF(M255=""," ",VLOOKUP(M255,Listas!$F$9:$G$17,2,FALSE))</f>
        <v>03</v>
      </c>
      <c r="M255" s="475" t="s">
        <v>446</v>
      </c>
      <c r="N255" s="345">
        <f t="shared" si="3"/>
        <v>600000</v>
      </c>
      <c r="O255" s="15"/>
      <c r="P255" s="16"/>
      <c r="Q255" s="16"/>
      <c r="R255" s="16"/>
      <c r="S255" s="16"/>
      <c r="T255" s="16"/>
      <c r="U255" s="16"/>
      <c r="V255" s="16"/>
      <c r="W255" s="16"/>
      <c r="X255" s="16"/>
      <c r="Y255" s="16"/>
      <c r="Z255" s="17"/>
      <c r="AE255" s="345">
        <f>1000000*3</f>
        <v>3000000</v>
      </c>
    </row>
    <row r="256" spans="1:31" s="59" customFormat="1" ht="33.75">
      <c r="A256" s="8"/>
      <c r="B256" s="11" t="str">
        <f>+IFERROR(VLOOKUP(C256,Listas!$L$8:$M$101,2,FALSE),"")</f>
        <v>10050102</v>
      </c>
      <c r="C256" s="334" t="s">
        <v>483</v>
      </c>
      <c r="D256" s="274"/>
      <c r="E256" s="275"/>
      <c r="F256" s="632"/>
      <c r="G256" s="385" t="s">
        <v>1349</v>
      </c>
      <c r="H256" s="9" t="str">
        <f>+IF(I256=""," ",VLOOKUP(I256,Listas!$I$12:$J$14,2,FALSE))</f>
        <v>05</v>
      </c>
      <c r="I256" s="495" t="s">
        <v>467</v>
      </c>
      <c r="J256" s="10">
        <f>+IF(K256=""," ",VLOOKUP(K256,PUC!$B:$C,2,FALSE))</f>
        <v>6210020101</v>
      </c>
      <c r="K256" s="334" t="s">
        <v>640</v>
      </c>
      <c r="L256" s="11" t="str">
        <f>+IF(M256=""," ",VLOOKUP(M256,Listas!$F$9:$G$17,2,FALSE))</f>
        <v>03</v>
      </c>
      <c r="M256" s="475" t="s">
        <v>446</v>
      </c>
      <c r="N256" s="345">
        <f t="shared" si="3"/>
        <v>600000</v>
      </c>
      <c r="O256" s="15"/>
      <c r="P256" s="16"/>
      <c r="Q256" s="16"/>
      <c r="R256" s="16"/>
      <c r="S256" s="16"/>
      <c r="T256" s="16"/>
      <c r="U256" s="16"/>
      <c r="V256" s="16"/>
      <c r="W256" s="16"/>
      <c r="X256" s="16"/>
      <c r="Y256" s="16"/>
      <c r="Z256" s="17"/>
      <c r="AE256" s="345">
        <f>1000000*3</f>
        <v>3000000</v>
      </c>
    </row>
    <row r="257" spans="1:31" s="59" customFormat="1" ht="25.5">
      <c r="A257" s="8"/>
      <c r="B257" s="11" t="str">
        <f>+IFERROR(VLOOKUP(C257,Listas!$L$8:$M$101,2,FALSE),"")</f>
        <v>10050102</v>
      </c>
      <c r="C257" s="334" t="s">
        <v>483</v>
      </c>
      <c r="D257" s="274"/>
      <c r="E257" s="275"/>
      <c r="F257" s="632"/>
      <c r="G257" s="385" t="s">
        <v>1350</v>
      </c>
      <c r="H257" s="9" t="str">
        <f>+IF(I257=""," ",VLOOKUP(I257,Listas!$I$12:$J$14,2,FALSE))</f>
        <v>06</v>
      </c>
      <c r="I257" s="495" t="s">
        <v>468</v>
      </c>
      <c r="J257" s="10">
        <f>+IF(K257=""," ",VLOOKUP(K257,PUC!$B:$C,2,FALSE))</f>
        <v>6210021103</v>
      </c>
      <c r="K257" s="334" t="s">
        <v>950</v>
      </c>
      <c r="L257" s="11" t="str">
        <f>+IF(M257=""," ",VLOOKUP(M257,Listas!$F$9:$G$17,2,FALSE))</f>
        <v>03</v>
      </c>
      <c r="M257" s="475" t="s">
        <v>446</v>
      </c>
      <c r="N257" s="345">
        <f t="shared" si="3"/>
        <v>1050000</v>
      </c>
      <c r="O257" s="15"/>
      <c r="P257" s="16"/>
      <c r="Q257" s="16"/>
      <c r="R257" s="16"/>
      <c r="S257" s="16"/>
      <c r="T257" s="16"/>
      <c r="U257" s="16"/>
      <c r="V257" s="16"/>
      <c r="W257" s="16"/>
      <c r="X257" s="16"/>
      <c r="Y257" s="16"/>
      <c r="Z257" s="17"/>
      <c r="AE257" s="345">
        <f>500*3500*3</f>
        <v>5250000</v>
      </c>
    </row>
    <row r="258" spans="1:31" s="59" customFormat="1" ht="33.75">
      <c r="A258" s="8"/>
      <c r="B258" s="11" t="str">
        <f>+IFERROR(VLOOKUP(C258,Listas!$L$8:$M$101,2,FALSE),"")</f>
        <v>10050102</v>
      </c>
      <c r="C258" s="334" t="s">
        <v>483</v>
      </c>
      <c r="D258" s="274"/>
      <c r="E258" s="275"/>
      <c r="F258" s="632"/>
      <c r="G258" s="385" t="s">
        <v>1351</v>
      </c>
      <c r="H258" s="9" t="str">
        <f>+IF(I258=""," ",VLOOKUP(I258,Listas!$I$12:$J$14,2,FALSE))</f>
        <v>05</v>
      </c>
      <c r="I258" s="495" t="s">
        <v>467</v>
      </c>
      <c r="J258" s="10">
        <f>+IF(K258=""," ",VLOOKUP(K258,PUC!$B:$C,2,FALSE))</f>
        <v>6210020203</v>
      </c>
      <c r="K258" s="334" t="s">
        <v>656</v>
      </c>
      <c r="L258" s="11" t="str">
        <f>+IF(M258=""," ",VLOOKUP(M258,Listas!$F$9:$G$17,2,FALSE))</f>
        <v>03</v>
      </c>
      <c r="M258" s="475" t="s">
        <v>446</v>
      </c>
      <c r="N258" s="345">
        <f t="shared" si="3"/>
        <v>200000</v>
      </c>
      <c r="O258" s="15"/>
      <c r="P258" s="16"/>
      <c r="Q258" s="16"/>
      <c r="R258" s="16"/>
      <c r="S258" s="16"/>
      <c r="T258" s="16"/>
      <c r="U258" s="16"/>
      <c r="V258" s="16"/>
      <c r="W258" s="16"/>
      <c r="X258" s="16"/>
      <c r="Y258" s="16"/>
      <c r="Z258" s="17"/>
      <c r="AE258" s="345">
        <f>1000000*1</f>
        <v>1000000</v>
      </c>
    </row>
    <row r="259" spans="1:31" s="59" customFormat="1" ht="33.75">
      <c r="A259" s="8"/>
      <c r="B259" s="11" t="str">
        <f>+IFERROR(VLOOKUP(C259,Listas!$L$8:$M$101,2,FALSE),"")</f>
        <v>10050102</v>
      </c>
      <c r="C259" s="334" t="s">
        <v>483</v>
      </c>
      <c r="D259" s="274"/>
      <c r="E259" s="275"/>
      <c r="F259" s="632"/>
      <c r="G259" s="385" t="s">
        <v>1351</v>
      </c>
      <c r="H259" s="9" t="str">
        <f>+IF(I259=""," ",VLOOKUP(I259,Listas!$I$12:$J$14,2,FALSE))</f>
        <v>05</v>
      </c>
      <c r="I259" s="495" t="s">
        <v>467</v>
      </c>
      <c r="J259" s="10">
        <f>+IF(K259=""," ",VLOOKUP(K259,PUC!$B:$C,2,FALSE))</f>
        <v>6210020101</v>
      </c>
      <c r="K259" s="334" t="s">
        <v>640</v>
      </c>
      <c r="L259" s="11" t="str">
        <f>+IF(M259=""," ",VLOOKUP(M259,Listas!$F$9:$G$17,2,FALSE))</f>
        <v>03</v>
      </c>
      <c r="M259" s="475" t="s">
        <v>446</v>
      </c>
      <c r="N259" s="345">
        <f t="shared" si="3"/>
        <v>200000</v>
      </c>
      <c r="O259" s="15"/>
      <c r="P259" s="16"/>
      <c r="Q259" s="16"/>
      <c r="R259" s="16"/>
      <c r="S259" s="16"/>
      <c r="T259" s="16"/>
      <c r="U259" s="16"/>
      <c r="V259" s="16"/>
      <c r="W259" s="16"/>
      <c r="X259" s="16"/>
      <c r="Y259" s="16"/>
      <c r="Z259" s="17"/>
      <c r="AE259" s="345">
        <f>1000000*1</f>
        <v>1000000</v>
      </c>
    </row>
    <row r="260" spans="1:31" s="59" customFormat="1" ht="25.5">
      <c r="A260" s="8"/>
      <c r="B260" s="11" t="str">
        <f>+IFERROR(VLOOKUP(C260,Listas!$L$8:$M$101,2,FALSE),"")</f>
        <v>10050102</v>
      </c>
      <c r="C260" s="334" t="s">
        <v>483</v>
      </c>
      <c r="D260" s="274"/>
      <c r="E260" s="275"/>
      <c r="F260" s="632"/>
      <c r="G260" s="385" t="s">
        <v>1351</v>
      </c>
      <c r="H260" s="9" t="str">
        <f>+IF(I260=""," ",VLOOKUP(I260,Listas!$I$12:$J$14,2,FALSE))</f>
        <v>06</v>
      </c>
      <c r="I260" s="495" t="s">
        <v>468</v>
      </c>
      <c r="J260" s="10">
        <f>+IF(K260=""," ",VLOOKUP(K260,PUC!$B:$C,2,FALSE))</f>
        <v>6210021103</v>
      </c>
      <c r="K260" s="334" t="s">
        <v>950</v>
      </c>
      <c r="L260" s="11" t="str">
        <f>+IF(M260=""," ",VLOOKUP(M260,Listas!$F$9:$G$17,2,FALSE))</f>
        <v>03</v>
      </c>
      <c r="M260" s="475" t="s">
        <v>446</v>
      </c>
      <c r="N260" s="345">
        <f t="shared" si="3"/>
        <v>350000</v>
      </c>
      <c r="O260" s="15"/>
      <c r="P260" s="16"/>
      <c r="Q260" s="16"/>
      <c r="R260" s="16"/>
      <c r="S260" s="16"/>
      <c r="T260" s="16"/>
      <c r="U260" s="16"/>
      <c r="V260" s="16"/>
      <c r="W260" s="16"/>
      <c r="X260" s="16"/>
      <c r="Y260" s="16"/>
      <c r="Z260" s="17"/>
      <c r="AE260" s="345">
        <f>500*3500*1</f>
        <v>1750000</v>
      </c>
    </row>
    <row r="261" spans="1:31" s="59" customFormat="1" ht="38.25">
      <c r="A261" s="8"/>
      <c r="B261" s="11" t="str">
        <f>+IFERROR(VLOOKUP(C261,Listas!$L$8:$M$101,2,FALSE),"")</f>
        <v>10050102</v>
      </c>
      <c r="C261" s="334" t="s">
        <v>483</v>
      </c>
      <c r="D261" s="274"/>
      <c r="E261" s="275"/>
      <c r="F261" s="632"/>
      <c r="G261" s="385" t="s">
        <v>1163</v>
      </c>
      <c r="H261" s="9" t="str">
        <f>+IF(I261=""," ",VLOOKUP(I261,Listas!$I$12:$J$14,2,FALSE))</f>
        <v xml:space="preserve"> </v>
      </c>
      <c r="I261" s="495"/>
      <c r="J261" s="10" t="str">
        <f>+IF(K261=""," ",VLOOKUP(K261,PUC!$B:$C,2,FALSE))</f>
        <v xml:space="preserve"> </v>
      </c>
      <c r="K261" s="334"/>
      <c r="L261" s="11" t="str">
        <f>+IF(M261=""," ",VLOOKUP(M261,Listas!$F$9:$G$17,2,FALSE))</f>
        <v>03</v>
      </c>
      <c r="M261" s="475" t="s">
        <v>446</v>
      </c>
      <c r="N261" s="345">
        <f t="shared" si="3"/>
        <v>0</v>
      </c>
      <c r="O261" s="15"/>
      <c r="P261" s="16"/>
      <c r="Q261" s="16"/>
      <c r="R261" s="16"/>
      <c r="S261" s="16"/>
      <c r="T261" s="16"/>
      <c r="U261" s="16"/>
      <c r="V261" s="16"/>
      <c r="W261" s="16"/>
      <c r="X261" s="16"/>
      <c r="Y261" s="16"/>
      <c r="Z261" s="17"/>
      <c r="AE261" s="345"/>
    </row>
    <row r="262" spans="1:31" s="59" customFormat="1" ht="29.25" customHeight="1">
      <c r="A262" s="8"/>
      <c r="B262" s="11" t="str">
        <f>+IFERROR(VLOOKUP(C262,Listas!$L$8:$M$101,2,FALSE),"")</f>
        <v>10050102</v>
      </c>
      <c r="C262" s="334" t="s">
        <v>483</v>
      </c>
      <c r="D262" s="274"/>
      <c r="E262" s="275"/>
      <c r="F262" s="632"/>
      <c r="G262" s="385" t="s">
        <v>1164</v>
      </c>
      <c r="H262" s="9" t="str">
        <f>+IF(I262=""," ",VLOOKUP(I262,Listas!$I$12:$J$14,2,FALSE))</f>
        <v xml:space="preserve"> </v>
      </c>
      <c r="I262" s="495"/>
      <c r="J262" s="10" t="str">
        <f>+IF(K262=""," ",VLOOKUP(K262,PUC!$B:$C,2,FALSE))</f>
        <v xml:space="preserve"> </v>
      </c>
      <c r="K262" s="334"/>
      <c r="L262" s="11" t="str">
        <f>+IF(M262=""," ",VLOOKUP(M262,Listas!$F$9:$G$17,2,FALSE))</f>
        <v>03</v>
      </c>
      <c r="M262" s="475" t="s">
        <v>446</v>
      </c>
      <c r="N262" s="345">
        <f t="shared" si="3"/>
        <v>0</v>
      </c>
      <c r="O262" s="15"/>
      <c r="P262" s="16"/>
      <c r="Q262" s="16"/>
      <c r="R262" s="16"/>
      <c r="S262" s="16"/>
      <c r="T262" s="16"/>
      <c r="U262" s="16"/>
      <c r="V262" s="16"/>
      <c r="W262" s="16"/>
      <c r="X262" s="16"/>
      <c r="Y262" s="16"/>
      <c r="Z262" s="17"/>
      <c r="AE262" s="345"/>
    </row>
    <row r="263" spans="1:31" s="59" customFormat="1" ht="29.25" customHeight="1">
      <c r="A263" s="8"/>
      <c r="B263" s="11" t="str">
        <f>+IFERROR(VLOOKUP(C263,Listas!$L$8:$M$101,2,FALSE),"")</f>
        <v>10050102</v>
      </c>
      <c r="C263" s="334" t="s">
        <v>483</v>
      </c>
      <c r="D263" s="274"/>
      <c r="E263" s="275"/>
      <c r="F263" s="632"/>
      <c r="G263" s="385" t="s">
        <v>1165</v>
      </c>
      <c r="H263" s="9" t="str">
        <f>+IF(I263=""," ",VLOOKUP(I263,Listas!$I$12:$J$14,2,FALSE))</f>
        <v xml:space="preserve"> </v>
      </c>
      <c r="I263" s="495"/>
      <c r="J263" s="10" t="str">
        <f>+IF(K263=""," ",VLOOKUP(K263,PUC!$B:$C,2,FALSE))</f>
        <v xml:space="preserve"> </v>
      </c>
      <c r="K263" s="334"/>
      <c r="L263" s="11" t="str">
        <f>+IF(M263=""," ",VLOOKUP(M263,Listas!$F$9:$G$17,2,FALSE))</f>
        <v>03</v>
      </c>
      <c r="M263" s="475" t="s">
        <v>446</v>
      </c>
      <c r="N263" s="345">
        <f t="shared" si="3"/>
        <v>0</v>
      </c>
      <c r="O263" s="15"/>
      <c r="P263" s="16"/>
      <c r="Q263" s="16"/>
      <c r="R263" s="16"/>
      <c r="S263" s="16"/>
      <c r="T263" s="16"/>
      <c r="U263" s="16"/>
      <c r="V263" s="16"/>
      <c r="W263" s="16"/>
      <c r="X263" s="16"/>
      <c r="Y263" s="16"/>
      <c r="Z263" s="17"/>
      <c r="AE263" s="345"/>
    </row>
    <row r="264" spans="1:31" s="59" customFormat="1" ht="29.25" customHeight="1">
      <c r="A264" s="8"/>
      <c r="B264" s="11" t="str">
        <f>+IFERROR(VLOOKUP(C264,Listas!$L$8:$M$101,2,FALSE),"")</f>
        <v>10050102</v>
      </c>
      <c r="C264" s="334" t="s">
        <v>483</v>
      </c>
      <c r="D264" s="274"/>
      <c r="E264" s="275"/>
      <c r="F264" s="632"/>
      <c r="G264" s="385" t="s">
        <v>1172</v>
      </c>
      <c r="H264" s="9" t="str">
        <f>+IF(I264=""," ",VLOOKUP(I264,Listas!$I$12:$J$14,2,FALSE))</f>
        <v>06</v>
      </c>
      <c r="I264" s="495" t="s">
        <v>468</v>
      </c>
      <c r="J264" s="10">
        <f>+IF(K264=""," ",VLOOKUP(K264,PUC!$B:$C,2,FALSE))</f>
        <v>6210110101</v>
      </c>
      <c r="K264" s="334" t="s">
        <v>1006</v>
      </c>
      <c r="L264" s="11" t="str">
        <f>+IF(M264=""," ",VLOOKUP(M264,Listas!$F$9:$G$17,2,FALSE))</f>
        <v>03</v>
      </c>
      <c r="M264" s="475" t="s">
        <v>446</v>
      </c>
      <c r="N264" s="345">
        <v>3000000</v>
      </c>
      <c r="O264" s="15"/>
      <c r="P264" s="16"/>
      <c r="Q264" s="16"/>
      <c r="R264" s="16"/>
      <c r="S264" s="16"/>
      <c r="T264" s="16"/>
      <c r="U264" s="16"/>
      <c r="V264" s="16"/>
      <c r="W264" s="16"/>
      <c r="X264" s="16"/>
      <c r="Y264" s="16"/>
      <c r="Z264" s="17"/>
      <c r="AE264" s="345">
        <v>25000000</v>
      </c>
    </row>
    <row r="265" spans="1:31" s="59" customFormat="1" ht="29.25" customHeight="1">
      <c r="A265" s="8"/>
      <c r="B265" s="11" t="str">
        <f>+IFERROR(VLOOKUP(C265,Listas!$L$8:$M$101,2,FALSE),"")</f>
        <v>10050102</v>
      </c>
      <c r="C265" s="334" t="s">
        <v>483</v>
      </c>
      <c r="D265" s="274"/>
      <c r="E265" s="275"/>
      <c r="F265" s="632"/>
      <c r="G265" s="385" t="s">
        <v>1166</v>
      </c>
      <c r="H265" s="9" t="str">
        <f>+IF(I265=""," ",VLOOKUP(I265,Listas!$I$12:$J$14,2,FALSE))</f>
        <v xml:space="preserve"> </v>
      </c>
      <c r="I265" s="495"/>
      <c r="J265" s="10" t="str">
        <f>+IF(K265=""," ",VLOOKUP(K265,PUC!$B:$C,2,FALSE))</f>
        <v xml:space="preserve"> </v>
      </c>
      <c r="K265" s="334"/>
      <c r="L265" s="11" t="str">
        <f>+IF(M265=""," ",VLOOKUP(M265,Listas!$F$9:$G$17,2,FALSE))</f>
        <v>03</v>
      </c>
      <c r="M265" s="475" t="s">
        <v>446</v>
      </c>
      <c r="N265" s="345">
        <f t="shared" si="3"/>
        <v>0</v>
      </c>
      <c r="O265" s="15"/>
      <c r="P265" s="16"/>
      <c r="Q265" s="16"/>
      <c r="R265" s="16"/>
      <c r="S265" s="16"/>
      <c r="T265" s="16"/>
      <c r="U265" s="16"/>
      <c r="V265" s="16"/>
      <c r="W265" s="16"/>
      <c r="X265" s="16"/>
      <c r="Y265" s="16"/>
      <c r="Z265" s="17"/>
      <c r="AE265" s="345"/>
    </row>
    <row r="266" spans="1:31" s="59" customFormat="1" ht="29.25" customHeight="1">
      <c r="A266" s="8"/>
      <c r="B266" s="11" t="str">
        <f>+IFERROR(VLOOKUP(C266,Listas!$L$8:$M$101,2,FALSE),"")</f>
        <v>10050102</v>
      </c>
      <c r="C266" s="334" t="s">
        <v>483</v>
      </c>
      <c r="D266" s="274"/>
      <c r="E266" s="275"/>
      <c r="F266" s="632"/>
      <c r="G266" s="385" t="s">
        <v>1167</v>
      </c>
      <c r="H266" s="9" t="str">
        <f>+IF(I266=""," ",VLOOKUP(I266,Listas!$I$12:$J$14,2,FALSE))</f>
        <v xml:space="preserve"> </v>
      </c>
      <c r="I266" s="495"/>
      <c r="J266" s="10" t="str">
        <f>+IF(K266=""," ",VLOOKUP(K266,PUC!$B:$C,2,FALSE))</f>
        <v xml:space="preserve"> </v>
      </c>
      <c r="K266" s="334"/>
      <c r="L266" s="11" t="str">
        <f>+IF(M266=""," ",VLOOKUP(M266,Listas!$F$9:$G$17,2,FALSE))</f>
        <v>03</v>
      </c>
      <c r="M266" s="475" t="s">
        <v>446</v>
      </c>
      <c r="N266" s="345">
        <f t="shared" si="3"/>
        <v>0</v>
      </c>
      <c r="O266" s="15"/>
      <c r="P266" s="16"/>
      <c r="Q266" s="16"/>
      <c r="R266" s="16"/>
      <c r="S266" s="16"/>
      <c r="T266" s="16"/>
      <c r="U266" s="16"/>
      <c r="V266" s="16"/>
      <c r="W266" s="16"/>
      <c r="X266" s="16"/>
      <c r="Y266" s="16"/>
      <c r="Z266" s="17"/>
      <c r="AE266" s="345"/>
    </row>
    <row r="267" spans="1:31" s="59" customFormat="1" ht="29.25" customHeight="1">
      <c r="A267" s="8"/>
      <c r="B267" s="11" t="str">
        <f>+IFERROR(VLOOKUP(C267,Listas!$L$8:$M$101,2,FALSE),"")</f>
        <v>10050102</v>
      </c>
      <c r="C267" s="334" t="s">
        <v>483</v>
      </c>
      <c r="D267" s="274"/>
      <c r="E267" s="275"/>
      <c r="F267" s="632"/>
      <c r="G267" s="385" t="s">
        <v>1168</v>
      </c>
      <c r="H267" s="9" t="str">
        <f>+IF(I267=""," ",VLOOKUP(I267,Listas!$I$12:$J$14,2,FALSE))</f>
        <v xml:space="preserve"> </v>
      </c>
      <c r="I267" s="495"/>
      <c r="J267" s="10" t="str">
        <f>+IF(K267=""," ",VLOOKUP(K267,PUC!$B:$C,2,FALSE))</f>
        <v xml:space="preserve"> </v>
      </c>
      <c r="K267" s="334"/>
      <c r="L267" s="11" t="str">
        <f>+IF(M267=""," ",VLOOKUP(M267,Listas!$F$9:$G$17,2,FALSE))</f>
        <v>03</v>
      </c>
      <c r="M267" s="475" t="s">
        <v>446</v>
      </c>
      <c r="N267" s="345">
        <f t="shared" si="3"/>
        <v>0</v>
      </c>
      <c r="O267" s="15"/>
      <c r="P267" s="16"/>
      <c r="Q267" s="16"/>
      <c r="R267" s="16"/>
      <c r="S267" s="16"/>
      <c r="T267" s="16"/>
      <c r="U267" s="16"/>
      <c r="V267" s="16"/>
      <c r="W267" s="16"/>
      <c r="X267" s="16"/>
      <c r="Y267" s="16"/>
      <c r="Z267" s="17"/>
      <c r="AE267" s="345"/>
    </row>
    <row r="268" spans="1:31" s="59" customFormat="1" ht="29.25" customHeight="1">
      <c r="A268" s="8"/>
      <c r="B268" s="11" t="str">
        <f>+IFERROR(VLOOKUP(C268,Listas!$L$8:$M$101,2,FALSE),"")</f>
        <v>10050102</v>
      </c>
      <c r="C268" s="334" t="s">
        <v>483</v>
      </c>
      <c r="D268" s="274"/>
      <c r="E268" s="275"/>
      <c r="F268" s="632"/>
      <c r="G268" s="385" t="s">
        <v>1169</v>
      </c>
      <c r="H268" s="9" t="str">
        <f>+IF(I268=""," ",VLOOKUP(I268,Listas!$I$12:$J$14,2,FALSE))</f>
        <v xml:space="preserve"> </v>
      </c>
      <c r="I268" s="495"/>
      <c r="J268" s="10" t="str">
        <f>+IF(K268=""," ",VLOOKUP(K268,PUC!$B:$C,2,FALSE))</f>
        <v xml:space="preserve"> </v>
      </c>
      <c r="K268" s="334"/>
      <c r="L268" s="11" t="str">
        <f>+IF(M268=""," ",VLOOKUP(M268,Listas!$F$9:$G$17,2,FALSE))</f>
        <v>03</v>
      </c>
      <c r="M268" s="475" t="s">
        <v>446</v>
      </c>
      <c r="N268" s="345">
        <f t="shared" si="3"/>
        <v>0</v>
      </c>
      <c r="O268" s="15"/>
      <c r="P268" s="16"/>
      <c r="Q268" s="16"/>
      <c r="R268" s="16"/>
      <c r="S268" s="16"/>
      <c r="T268" s="16"/>
      <c r="U268" s="16"/>
      <c r="V268" s="16"/>
      <c r="W268" s="16"/>
      <c r="X268" s="16"/>
      <c r="Y268" s="16"/>
      <c r="Z268" s="17"/>
      <c r="AE268" s="345"/>
    </row>
    <row r="269" spans="1:31" s="59" customFormat="1" ht="29.25" customHeight="1">
      <c r="A269" s="8"/>
      <c r="B269" s="11" t="str">
        <f>+IFERROR(VLOOKUP(C269,Listas!$L$8:$M$101,2,FALSE),"")</f>
        <v>10050102</v>
      </c>
      <c r="C269" s="334" t="s">
        <v>483</v>
      </c>
      <c r="D269" s="274"/>
      <c r="E269" s="275"/>
      <c r="F269" s="632"/>
      <c r="G269" s="385" t="s">
        <v>1170</v>
      </c>
      <c r="H269" s="9" t="str">
        <f>+IF(I269=""," ",VLOOKUP(I269,Listas!$I$12:$J$14,2,FALSE))</f>
        <v xml:space="preserve"> </v>
      </c>
      <c r="I269" s="495"/>
      <c r="J269" s="10" t="str">
        <f>+IF(K269=""," ",VLOOKUP(K269,PUC!$B:$C,2,FALSE))</f>
        <v xml:space="preserve"> </v>
      </c>
      <c r="K269" s="334"/>
      <c r="L269" s="11" t="str">
        <f>+IF(M269=""," ",VLOOKUP(M269,Listas!$F$9:$G$17,2,FALSE))</f>
        <v>03</v>
      </c>
      <c r="M269" s="475" t="s">
        <v>446</v>
      </c>
      <c r="N269" s="345">
        <f t="shared" si="3"/>
        <v>0</v>
      </c>
      <c r="O269" s="15"/>
      <c r="P269" s="16"/>
      <c r="Q269" s="16"/>
      <c r="R269" s="16"/>
      <c r="S269" s="16"/>
      <c r="T269" s="16"/>
      <c r="U269" s="16"/>
      <c r="V269" s="16"/>
      <c r="W269" s="16"/>
      <c r="X269" s="16"/>
      <c r="Y269" s="16"/>
      <c r="Z269" s="17"/>
      <c r="AE269" s="345"/>
    </row>
    <row r="270" spans="1:31" s="59" customFormat="1" ht="29.25" customHeight="1" thickBot="1">
      <c r="A270" s="8"/>
      <c r="B270" s="11" t="str">
        <f>+IFERROR(VLOOKUP(C270,Listas!$L$8:$M$101,2,FALSE),"")</f>
        <v>10050102</v>
      </c>
      <c r="C270" s="334" t="s">
        <v>483</v>
      </c>
      <c r="D270" s="274"/>
      <c r="E270" s="275"/>
      <c r="F270" s="633"/>
      <c r="G270" s="385" t="s">
        <v>1171</v>
      </c>
      <c r="H270" s="9" t="str">
        <f>+IF(I270=""," ",VLOOKUP(I270,Listas!$I$12:$J$14,2,FALSE))</f>
        <v xml:space="preserve"> </v>
      </c>
      <c r="I270" s="495"/>
      <c r="J270" s="10" t="str">
        <f>+IF(K270=""," ",VLOOKUP(K270,PUC!$B:$C,2,FALSE))</f>
        <v xml:space="preserve"> </v>
      </c>
      <c r="K270" s="334"/>
      <c r="L270" s="11" t="str">
        <f>+IF(M270=""," ",VLOOKUP(M270,Listas!$F$9:$G$17,2,FALSE))</f>
        <v>03</v>
      </c>
      <c r="M270" s="475" t="s">
        <v>446</v>
      </c>
      <c r="N270" s="345">
        <f t="shared" si="3"/>
        <v>0</v>
      </c>
      <c r="O270" s="15"/>
      <c r="P270" s="16"/>
      <c r="Q270" s="16"/>
      <c r="R270" s="16"/>
      <c r="S270" s="16"/>
      <c r="T270" s="16"/>
      <c r="U270" s="16"/>
      <c r="V270" s="16"/>
      <c r="W270" s="16"/>
      <c r="X270" s="16"/>
      <c r="Y270" s="16"/>
      <c r="Z270" s="17"/>
      <c r="AE270" s="345"/>
    </row>
    <row r="271" spans="1:31" s="59" customFormat="1" ht="29.25" hidden="1" customHeight="1">
      <c r="A271" s="8"/>
      <c r="B271" s="11" t="str">
        <f>+IFERROR(VLOOKUP(C271,Listas!$L$8:$M$101,2,FALSE),"")</f>
        <v>10050102</v>
      </c>
      <c r="C271" s="334" t="s">
        <v>483</v>
      </c>
      <c r="D271" s="274"/>
      <c r="E271" s="275"/>
      <c r="F271" s="274"/>
      <c r="G271" s="275"/>
      <c r="H271" s="9" t="str">
        <f>+IF(I271=""," ",VLOOKUP(I271,Listas!$I$12:$J$14,2,FALSE))</f>
        <v xml:space="preserve"> </v>
      </c>
      <c r="I271" s="495"/>
      <c r="J271" s="10" t="str">
        <f>+IF(K271=""," ",VLOOKUP(K271,PUC!$B:$C,2,FALSE))</f>
        <v xml:space="preserve"> </v>
      </c>
      <c r="K271" s="334"/>
      <c r="L271" s="11" t="str">
        <f>+IF(M271=""," ",VLOOKUP(M271,Listas!$F$9:$G$17,2,FALSE))</f>
        <v>03</v>
      </c>
      <c r="M271" s="475" t="s">
        <v>446</v>
      </c>
      <c r="N271" s="345">
        <f t="shared" ref="N271:N334" si="4">+IFERROR((MROUND(AE271*$AD$12,1000)),"")</f>
        <v>0</v>
      </c>
      <c r="O271" s="15"/>
      <c r="P271" s="16"/>
      <c r="Q271" s="16"/>
      <c r="R271" s="16"/>
      <c r="S271" s="16"/>
      <c r="T271" s="16"/>
      <c r="U271" s="16"/>
      <c r="V271" s="16"/>
      <c r="W271" s="16"/>
      <c r="X271" s="16"/>
      <c r="Y271" s="16"/>
      <c r="Z271" s="17"/>
      <c r="AE271" s="345"/>
    </row>
    <row r="272" spans="1:31" s="59" customFormat="1" ht="29.25" hidden="1" customHeight="1">
      <c r="A272" s="8"/>
      <c r="B272" s="11" t="str">
        <f>+IFERROR(VLOOKUP(C272,Listas!$L$8:$M$101,2,FALSE),"")</f>
        <v>10050102</v>
      </c>
      <c r="C272" s="334" t="s">
        <v>483</v>
      </c>
      <c r="D272" s="274"/>
      <c r="E272" s="275"/>
      <c r="F272" s="274"/>
      <c r="G272" s="275"/>
      <c r="H272" s="9" t="str">
        <f>+IF(I272=""," ",VLOOKUP(I272,Listas!$I$12:$J$14,2,FALSE))</f>
        <v xml:space="preserve"> </v>
      </c>
      <c r="I272" s="495"/>
      <c r="J272" s="10" t="str">
        <f>+IF(K272=""," ",VLOOKUP(K272,PUC!$B:$C,2,FALSE))</f>
        <v xml:space="preserve"> </v>
      </c>
      <c r="K272" s="334"/>
      <c r="L272" s="11" t="str">
        <f>+IF(M272=""," ",VLOOKUP(M272,Listas!$F$9:$G$17,2,FALSE))</f>
        <v>03</v>
      </c>
      <c r="M272" s="475" t="s">
        <v>446</v>
      </c>
      <c r="N272" s="345">
        <f t="shared" si="4"/>
        <v>0</v>
      </c>
      <c r="O272" s="15"/>
      <c r="P272" s="16"/>
      <c r="Q272" s="16"/>
      <c r="R272" s="16"/>
      <c r="S272" s="16"/>
      <c r="T272" s="16"/>
      <c r="U272" s="16"/>
      <c r="V272" s="16"/>
      <c r="W272" s="16"/>
      <c r="X272" s="16"/>
      <c r="Y272" s="16"/>
      <c r="Z272" s="17"/>
      <c r="AE272" s="345"/>
    </row>
    <row r="273" spans="1:31" s="59" customFormat="1" ht="29.25" hidden="1" customHeight="1">
      <c r="A273" s="8"/>
      <c r="B273" s="11" t="str">
        <f>+IFERROR(VLOOKUP(C273,Listas!$L$8:$M$101,2,FALSE),"")</f>
        <v>10050102</v>
      </c>
      <c r="C273" s="334" t="s">
        <v>483</v>
      </c>
      <c r="D273" s="274"/>
      <c r="E273" s="275"/>
      <c r="F273" s="274"/>
      <c r="G273" s="275"/>
      <c r="H273" s="9" t="str">
        <f>+IF(I273=""," ",VLOOKUP(I273,Listas!$I$12:$J$14,2,FALSE))</f>
        <v xml:space="preserve"> </v>
      </c>
      <c r="I273" s="495"/>
      <c r="J273" s="10" t="str">
        <f>+IF(K273=""," ",VLOOKUP(K273,PUC!$B:$C,2,FALSE))</f>
        <v xml:space="preserve"> </v>
      </c>
      <c r="K273" s="334"/>
      <c r="L273" s="11" t="str">
        <f>+IF(M273=""," ",VLOOKUP(M273,Listas!$F$9:$G$17,2,FALSE))</f>
        <v>03</v>
      </c>
      <c r="M273" s="475" t="s">
        <v>446</v>
      </c>
      <c r="N273" s="345">
        <f t="shared" si="4"/>
        <v>0</v>
      </c>
      <c r="O273" s="15"/>
      <c r="P273" s="16"/>
      <c r="Q273" s="16"/>
      <c r="R273" s="16"/>
      <c r="S273" s="16"/>
      <c r="T273" s="16"/>
      <c r="U273" s="16"/>
      <c r="V273" s="16"/>
      <c r="W273" s="16"/>
      <c r="X273" s="16"/>
      <c r="Y273" s="16"/>
      <c r="Z273" s="17"/>
      <c r="AE273" s="345"/>
    </row>
    <row r="274" spans="1:31" s="59" customFormat="1" ht="29.25" hidden="1" customHeight="1">
      <c r="A274" s="8"/>
      <c r="B274" s="11" t="str">
        <f>+IFERROR(VLOOKUP(C274,Listas!$L$8:$M$101,2,FALSE),"")</f>
        <v>10050102</v>
      </c>
      <c r="C274" s="334" t="s">
        <v>483</v>
      </c>
      <c r="D274" s="274"/>
      <c r="E274" s="275"/>
      <c r="F274" s="274"/>
      <c r="G274" s="275"/>
      <c r="H274" s="9" t="str">
        <f>+IF(I274=""," ",VLOOKUP(I274,Listas!$I$12:$J$14,2,FALSE))</f>
        <v xml:space="preserve"> </v>
      </c>
      <c r="I274" s="495"/>
      <c r="J274" s="10" t="str">
        <f>+IF(K274=""," ",VLOOKUP(K274,PUC!$B:$C,2,FALSE))</f>
        <v xml:space="preserve"> </v>
      </c>
      <c r="K274" s="334"/>
      <c r="L274" s="11" t="str">
        <f>+IF(M274=""," ",VLOOKUP(M274,Listas!$F$9:$G$17,2,FALSE))</f>
        <v>03</v>
      </c>
      <c r="M274" s="475" t="s">
        <v>446</v>
      </c>
      <c r="N274" s="345">
        <f t="shared" si="4"/>
        <v>0</v>
      </c>
      <c r="O274" s="15"/>
      <c r="P274" s="16"/>
      <c r="Q274" s="16"/>
      <c r="R274" s="16"/>
      <c r="S274" s="16"/>
      <c r="T274" s="16"/>
      <c r="U274" s="16"/>
      <c r="V274" s="16"/>
      <c r="W274" s="16"/>
      <c r="X274" s="16"/>
      <c r="Y274" s="16"/>
      <c r="Z274" s="17"/>
      <c r="AE274" s="345"/>
    </row>
    <row r="275" spans="1:31" s="59" customFormat="1" ht="29.25" hidden="1" customHeight="1">
      <c r="A275" s="8"/>
      <c r="B275" s="11" t="str">
        <f>+IFERROR(VLOOKUP(C275,Listas!$L$8:$M$101,2,FALSE),"")</f>
        <v>10050102</v>
      </c>
      <c r="C275" s="334" t="s">
        <v>483</v>
      </c>
      <c r="D275" s="274"/>
      <c r="E275" s="275"/>
      <c r="F275" s="274"/>
      <c r="G275" s="275"/>
      <c r="H275" s="9" t="str">
        <f>+IF(I275=""," ",VLOOKUP(I275,Listas!$I$12:$J$14,2,FALSE))</f>
        <v xml:space="preserve"> </v>
      </c>
      <c r="I275" s="495"/>
      <c r="J275" s="10" t="str">
        <f>+IF(K275=""," ",VLOOKUP(K275,PUC!$B:$C,2,FALSE))</f>
        <v xml:space="preserve"> </v>
      </c>
      <c r="K275" s="334"/>
      <c r="L275" s="11" t="str">
        <f>+IF(M275=""," ",VLOOKUP(M275,Listas!$F$9:$G$17,2,FALSE))</f>
        <v>03</v>
      </c>
      <c r="M275" s="475" t="s">
        <v>446</v>
      </c>
      <c r="N275" s="345">
        <f t="shared" si="4"/>
        <v>0</v>
      </c>
      <c r="O275" s="15"/>
      <c r="P275" s="16"/>
      <c r="Q275" s="16"/>
      <c r="R275" s="16"/>
      <c r="S275" s="16"/>
      <c r="T275" s="16"/>
      <c r="U275" s="16"/>
      <c r="V275" s="16"/>
      <c r="W275" s="16"/>
      <c r="X275" s="16"/>
      <c r="Y275" s="16"/>
      <c r="Z275" s="17"/>
      <c r="AE275" s="345"/>
    </row>
    <row r="276" spans="1:31" s="59" customFormat="1" ht="29.25" hidden="1" customHeight="1">
      <c r="A276" s="8"/>
      <c r="B276" s="11" t="str">
        <f>+IFERROR(VLOOKUP(C276,Listas!$L$8:$M$101,2,FALSE),"")</f>
        <v>10050102</v>
      </c>
      <c r="C276" s="334" t="s">
        <v>483</v>
      </c>
      <c r="D276" s="274"/>
      <c r="E276" s="275"/>
      <c r="F276" s="274"/>
      <c r="G276" s="275"/>
      <c r="H276" s="9" t="str">
        <f>+IF(I276=""," ",VLOOKUP(I276,Listas!$I$12:$J$14,2,FALSE))</f>
        <v xml:space="preserve"> </v>
      </c>
      <c r="I276" s="495"/>
      <c r="J276" s="10" t="str">
        <f>+IF(K276=""," ",VLOOKUP(K276,PUC!$B:$C,2,FALSE))</f>
        <v xml:space="preserve"> </v>
      </c>
      <c r="K276" s="334"/>
      <c r="L276" s="11" t="str">
        <f>+IF(M276=""," ",VLOOKUP(M276,Listas!$F$9:$G$17,2,FALSE))</f>
        <v>03</v>
      </c>
      <c r="M276" s="475" t="s">
        <v>446</v>
      </c>
      <c r="N276" s="345">
        <f t="shared" si="4"/>
        <v>0</v>
      </c>
      <c r="O276" s="15"/>
      <c r="P276" s="16"/>
      <c r="Q276" s="16"/>
      <c r="R276" s="16"/>
      <c r="S276" s="16"/>
      <c r="T276" s="16"/>
      <c r="U276" s="16"/>
      <c r="V276" s="16"/>
      <c r="W276" s="16"/>
      <c r="X276" s="16"/>
      <c r="Y276" s="16"/>
      <c r="Z276" s="17"/>
      <c r="AE276" s="345"/>
    </row>
    <row r="277" spans="1:31" s="59" customFormat="1" ht="29.25" hidden="1" customHeight="1">
      <c r="A277" s="8"/>
      <c r="B277" s="11" t="str">
        <f>+IFERROR(VLOOKUP(C277,Listas!$L$8:$M$101,2,FALSE),"")</f>
        <v>10050102</v>
      </c>
      <c r="C277" s="334" t="s">
        <v>483</v>
      </c>
      <c r="D277" s="274"/>
      <c r="E277" s="275"/>
      <c r="F277" s="274"/>
      <c r="G277" s="275"/>
      <c r="H277" s="9" t="str">
        <f>+IF(I277=""," ",VLOOKUP(I277,Listas!$I$12:$J$14,2,FALSE))</f>
        <v xml:space="preserve"> </v>
      </c>
      <c r="I277" s="495"/>
      <c r="J277" s="10" t="str">
        <f>+IF(K277=""," ",VLOOKUP(K277,PUC!$B:$C,2,FALSE))</f>
        <v xml:space="preserve"> </v>
      </c>
      <c r="K277" s="334"/>
      <c r="L277" s="11" t="str">
        <f>+IF(M277=""," ",VLOOKUP(M277,Listas!$F$9:$G$17,2,FALSE))</f>
        <v>03</v>
      </c>
      <c r="M277" s="475" t="s">
        <v>446</v>
      </c>
      <c r="N277" s="345">
        <f t="shared" si="4"/>
        <v>0</v>
      </c>
      <c r="O277" s="15"/>
      <c r="P277" s="16"/>
      <c r="Q277" s="16"/>
      <c r="R277" s="16"/>
      <c r="S277" s="16"/>
      <c r="T277" s="16"/>
      <c r="U277" s="16"/>
      <c r="V277" s="16"/>
      <c r="W277" s="16"/>
      <c r="X277" s="16"/>
      <c r="Y277" s="16"/>
      <c r="Z277" s="17"/>
      <c r="AE277" s="345"/>
    </row>
    <row r="278" spans="1:31" s="59" customFormat="1" ht="29.25" hidden="1" customHeight="1">
      <c r="A278" s="8"/>
      <c r="B278" s="11" t="str">
        <f>+IFERROR(VLOOKUP(C278,Listas!$L$8:$M$101,2,FALSE),"")</f>
        <v>10050102</v>
      </c>
      <c r="C278" s="334" t="s">
        <v>483</v>
      </c>
      <c r="D278" s="274"/>
      <c r="E278" s="275"/>
      <c r="F278" s="274"/>
      <c r="G278" s="275"/>
      <c r="H278" s="9" t="str">
        <f>+IF(I278=""," ",VLOOKUP(I278,Listas!$I$12:$J$14,2,FALSE))</f>
        <v xml:space="preserve"> </v>
      </c>
      <c r="I278" s="495"/>
      <c r="J278" s="10" t="str">
        <f>+IF(K278=""," ",VLOOKUP(K278,PUC!$B:$C,2,FALSE))</f>
        <v xml:space="preserve"> </v>
      </c>
      <c r="K278" s="334"/>
      <c r="L278" s="11" t="str">
        <f>+IF(M278=""," ",VLOOKUP(M278,Listas!$F$9:$G$17,2,FALSE))</f>
        <v>03</v>
      </c>
      <c r="M278" s="475" t="s">
        <v>446</v>
      </c>
      <c r="N278" s="345">
        <f t="shared" si="4"/>
        <v>0</v>
      </c>
      <c r="O278" s="15"/>
      <c r="P278" s="16"/>
      <c r="Q278" s="16"/>
      <c r="R278" s="16"/>
      <c r="S278" s="16"/>
      <c r="T278" s="16"/>
      <c r="U278" s="16"/>
      <c r="V278" s="16"/>
      <c r="W278" s="16"/>
      <c r="X278" s="16"/>
      <c r="Y278" s="16"/>
      <c r="Z278" s="17"/>
      <c r="AE278" s="345"/>
    </row>
    <row r="279" spans="1:31" s="59" customFormat="1" ht="29.25" hidden="1" customHeight="1">
      <c r="A279" s="8"/>
      <c r="B279" s="11" t="str">
        <f>+IFERROR(VLOOKUP(C279,Listas!$L$8:$M$101,2,FALSE),"")</f>
        <v>10050102</v>
      </c>
      <c r="C279" s="334" t="s">
        <v>483</v>
      </c>
      <c r="D279" s="274"/>
      <c r="E279" s="275"/>
      <c r="F279" s="274"/>
      <c r="G279" s="275"/>
      <c r="H279" s="9" t="str">
        <f>+IF(I279=""," ",VLOOKUP(I279,Listas!$I$12:$J$14,2,FALSE))</f>
        <v xml:space="preserve"> </v>
      </c>
      <c r="I279" s="495"/>
      <c r="J279" s="10" t="str">
        <f>+IF(K279=""," ",VLOOKUP(K279,PUC!$B:$C,2,FALSE))</f>
        <v xml:space="preserve"> </v>
      </c>
      <c r="K279" s="334"/>
      <c r="L279" s="11" t="str">
        <f>+IF(M279=""," ",VLOOKUP(M279,Listas!$F$9:$G$17,2,FALSE))</f>
        <v>03</v>
      </c>
      <c r="M279" s="475" t="s">
        <v>446</v>
      </c>
      <c r="N279" s="345">
        <f t="shared" si="4"/>
        <v>0</v>
      </c>
      <c r="O279" s="15"/>
      <c r="P279" s="16"/>
      <c r="Q279" s="16"/>
      <c r="R279" s="16"/>
      <c r="S279" s="16"/>
      <c r="T279" s="16"/>
      <c r="U279" s="16"/>
      <c r="V279" s="16"/>
      <c r="W279" s="16"/>
      <c r="X279" s="16"/>
      <c r="Y279" s="16"/>
      <c r="Z279" s="17"/>
      <c r="AE279" s="345"/>
    </row>
    <row r="280" spans="1:31" s="59" customFormat="1" ht="29.25" hidden="1" customHeight="1">
      <c r="A280" s="8"/>
      <c r="B280" s="11" t="str">
        <f>+IFERROR(VLOOKUP(C280,Listas!$L$8:$M$101,2,FALSE),"")</f>
        <v>10050102</v>
      </c>
      <c r="C280" s="334" t="s">
        <v>483</v>
      </c>
      <c r="D280" s="274"/>
      <c r="E280" s="275"/>
      <c r="F280" s="274"/>
      <c r="G280" s="275"/>
      <c r="H280" s="9" t="str">
        <f>+IF(I280=""," ",VLOOKUP(I280,Listas!$I$12:$J$14,2,FALSE))</f>
        <v xml:space="preserve"> </v>
      </c>
      <c r="I280" s="495"/>
      <c r="J280" s="10" t="str">
        <f>+IF(K280=""," ",VLOOKUP(K280,PUC!$B:$C,2,FALSE))</f>
        <v xml:space="preserve"> </v>
      </c>
      <c r="K280" s="334"/>
      <c r="L280" s="11" t="str">
        <f>+IF(M280=""," ",VLOOKUP(M280,Listas!$F$9:$G$17,2,FALSE))</f>
        <v>03</v>
      </c>
      <c r="M280" s="475" t="s">
        <v>446</v>
      </c>
      <c r="N280" s="345">
        <f t="shared" si="4"/>
        <v>0</v>
      </c>
      <c r="O280" s="15"/>
      <c r="P280" s="16"/>
      <c r="Q280" s="16"/>
      <c r="R280" s="16"/>
      <c r="S280" s="16"/>
      <c r="T280" s="16"/>
      <c r="U280" s="16"/>
      <c r="V280" s="16"/>
      <c r="W280" s="16"/>
      <c r="X280" s="16"/>
      <c r="Y280" s="16"/>
      <c r="Z280" s="17"/>
      <c r="AE280" s="345"/>
    </row>
    <row r="281" spans="1:31" s="59" customFormat="1" ht="29.25" hidden="1" customHeight="1" thickBot="1">
      <c r="A281" s="8"/>
      <c r="B281" s="28" t="str">
        <f>+IFERROR(VLOOKUP(C281,Listas!$L$8:$M$101,2,FALSE),"")</f>
        <v>10050102</v>
      </c>
      <c r="C281" s="341" t="s">
        <v>483</v>
      </c>
      <c r="D281" s="278"/>
      <c r="E281" s="279"/>
      <c r="F281" s="278"/>
      <c r="G281" s="279"/>
      <c r="H281" s="26" t="str">
        <f>+IF(I281=""," ",VLOOKUP(I281,Listas!$I$12:$J$14,2,FALSE))</f>
        <v xml:space="preserve"> </v>
      </c>
      <c r="I281" s="499"/>
      <c r="J281" s="27" t="str">
        <f>+IF(K281=""," ",VLOOKUP(K281,PUC!$B:$C,2,FALSE))</f>
        <v xml:space="preserve"> </v>
      </c>
      <c r="K281" s="341"/>
      <c r="L281" s="28" t="str">
        <f>+IF(M281=""," ",VLOOKUP(M281,Listas!$F$9:$G$17,2,FALSE))</f>
        <v>03</v>
      </c>
      <c r="M281" s="479" t="s">
        <v>446</v>
      </c>
      <c r="N281" s="348">
        <f t="shared" si="4"/>
        <v>0</v>
      </c>
      <c r="O281" s="23"/>
      <c r="P281" s="24"/>
      <c r="Q281" s="24"/>
      <c r="R281" s="24"/>
      <c r="S281" s="24"/>
      <c r="T281" s="24"/>
      <c r="U281" s="24"/>
      <c r="V281" s="24"/>
      <c r="W281" s="24"/>
      <c r="X281" s="24"/>
      <c r="Y281" s="24"/>
      <c r="Z281" s="25"/>
      <c r="AE281" s="348"/>
    </row>
    <row r="282" spans="1:31" s="59" customFormat="1" ht="29.25" customHeight="1">
      <c r="A282" s="8"/>
      <c r="B282" s="20" t="str">
        <f>+IFERROR(VLOOKUP(C282,Listas!$L$8:$M$101,2,FALSE),"")</f>
        <v>10060101</v>
      </c>
      <c r="C282" s="339" t="s">
        <v>488</v>
      </c>
      <c r="D282" s="276"/>
      <c r="E282" s="277"/>
      <c r="F282" s="357" t="s">
        <v>1173</v>
      </c>
      <c r="G282" s="385" t="s">
        <v>1174</v>
      </c>
      <c r="H282" s="18" t="str">
        <f>+IF(I282=""," ",VLOOKUP(I282,Listas!$I$8:$J$10,2,FALSE))</f>
        <v xml:space="preserve"> </v>
      </c>
      <c r="I282" s="497"/>
      <c r="J282" s="362" t="str">
        <f>+IF(K282=""," ",VLOOKUP(K282,PUC!$B:$C,2,FALSE))</f>
        <v xml:space="preserve"> </v>
      </c>
      <c r="K282" s="339"/>
      <c r="L282" s="20" t="str">
        <f>+IF(M282=""," ",VLOOKUP(M282,Listas!$F$9:$G$17,2,FALSE))</f>
        <v>02</v>
      </c>
      <c r="M282" s="477" t="s">
        <v>444</v>
      </c>
      <c r="N282" s="397">
        <f t="shared" si="4"/>
        <v>0</v>
      </c>
      <c r="O282" s="12"/>
      <c r="P282" s="13"/>
      <c r="Q282" s="13"/>
      <c r="R282" s="13"/>
      <c r="S282" s="13"/>
      <c r="T282" s="13"/>
      <c r="U282" s="13"/>
      <c r="V282" s="13"/>
      <c r="W282" s="13"/>
      <c r="X282" s="13"/>
      <c r="Y282" s="13"/>
      <c r="Z282" s="14"/>
      <c r="AE282" s="397"/>
    </row>
    <row r="283" spans="1:31" s="59" customFormat="1" ht="38.25">
      <c r="A283" s="8"/>
      <c r="B283" s="11" t="str">
        <f>+IFERROR(VLOOKUP(C283,Listas!$L$8:$M$101,2,FALSE),"")</f>
        <v>10060101</v>
      </c>
      <c r="C283" s="334" t="s">
        <v>488</v>
      </c>
      <c r="D283" s="274"/>
      <c r="E283" s="275"/>
      <c r="F283" s="627" t="s">
        <v>1175</v>
      </c>
      <c r="G283" s="385" t="s">
        <v>1176</v>
      </c>
      <c r="H283" s="9" t="str">
        <f>+IF(I283=""," ",VLOOKUP(I283,Listas!$I$8:$J$10,2,FALSE))</f>
        <v>02</v>
      </c>
      <c r="I283" s="495" t="s">
        <v>464</v>
      </c>
      <c r="J283" s="356" t="str">
        <f>+IF(K283=""," ",VLOOKUP(K283,PUC!$B:$C,2,FALSE))</f>
        <v xml:space="preserve"> </v>
      </c>
      <c r="K283" s="334"/>
      <c r="L283" s="11" t="str">
        <f>+IF(M283=""," ",VLOOKUP(M283,Listas!$F$9:$G$17,2,FALSE))</f>
        <v>02</v>
      </c>
      <c r="M283" s="475" t="s">
        <v>444</v>
      </c>
      <c r="N283" s="398">
        <f t="shared" si="4"/>
        <v>0</v>
      </c>
      <c r="O283" s="15"/>
      <c r="P283" s="16"/>
      <c r="Q283" s="16"/>
      <c r="R283" s="16"/>
      <c r="S283" s="16"/>
      <c r="T283" s="16"/>
      <c r="U283" s="16"/>
      <c r="V283" s="16"/>
      <c r="W283" s="16"/>
      <c r="X283" s="16"/>
      <c r="Y283" s="16"/>
      <c r="Z283" s="17"/>
      <c r="AE283" s="398"/>
    </row>
    <row r="284" spans="1:31" s="59" customFormat="1" ht="51.75" thickBot="1">
      <c r="A284" s="8"/>
      <c r="B284" s="11" t="str">
        <f>+IFERROR(VLOOKUP(C284,Listas!$L$8:$M$101,2,FALSE),"")</f>
        <v>10060101</v>
      </c>
      <c r="C284" s="334" t="s">
        <v>488</v>
      </c>
      <c r="D284" s="274"/>
      <c r="E284" s="275"/>
      <c r="F284" s="629"/>
      <c r="G284" s="385" t="s">
        <v>1177</v>
      </c>
      <c r="H284" s="9" t="str">
        <f>+IF(I284=""," ",VLOOKUP(I284,Listas!$I$8:$J$10,2,FALSE))</f>
        <v xml:space="preserve"> </v>
      </c>
      <c r="I284" s="495"/>
      <c r="J284" s="356" t="str">
        <f>+IF(K284=""," ",VLOOKUP(K284,PUC!$B:$C,2,FALSE))</f>
        <v xml:space="preserve"> </v>
      </c>
      <c r="K284" s="334"/>
      <c r="L284" s="11" t="str">
        <f>+IF(M284=""," ",VLOOKUP(M284,Listas!$F$9:$G$17,2,FALSE))</f>
        <v>02</v>
      </c>
      <c r="M284" s="475" t="s">
        <v>444</v>
      </c>
      <c r="N284" s="398">
        <f t="shared" si="4"/>
        <v>0</v>
      </c>
      <c r="O284" s="15"/>
      <c r="P284" s="16"/>
      <c r="Q284" s="16"/>
      <c r="R284" s="16"/>
      <c r="S284" s="16"/>
      <c r="T284" s="16"/>
      <c r="U284" s="16"/>
      <c r="V284" s="16"/>
      <c r="W284" s="16"/>
      <c r="X284" s="16"/>
      <c r="Y284" s="16"/>
      <c r="Z284" s="17"/>
      <c r="AE284" s="398"/>
    </row>
    <row r="285" spans="1:31" s="59" customFormat="1" ht="29.25" hidden="1" customHeight="1">
      <c r="A285" s="8"/>
      <c r="B285" s="11" t="str">
        <f>+IFERROR(VLOOKUP(C285,Listas!$L$8:$M$101,2,FALSE),"")</f>
        <v>10060101</v>
      </c>
      <c r="C285" s="334" t="s">
        <v>488</v>
      </c>
      <c r="D285" s="274"/>
      <c r="E285" s="275"/>
      <c r="F285" s="357"/>
      <c r="G285" s="385"/>
      <c r="H285" s="9" t="str">
        <f>+IF(I285=""," ",VLOOKUP(I285,Listas!$I$8:$J$10,2,FALSE))</f>
        <v xml:space="preserve"> </v>
      </c>
      <c r="I285" s="495"/>
      <c r="J285" s="356" t="str">
        <f>+IF(K285=""," ",VLOOKUP(K285,PUC!$B:$C,2,FALSE))</f>
        <v xml:space="preserve"> </v>
      </c>
      <c r="K285" s="334"/>
      <c r="L285" s="11" t="str">
        <f>+IF(M285=""," ",VLOOKUP(M285,Listas!$F$9:$G$17,2,FALSE))</f>
        <v>02</v>
      </c>
      <c r="M285" s="475" t="s">
        <v>444</v>
      </c>
      <c r="N285" s="398">
        <f t="shared" si="4"/>
        <v>0</v>
      </c>
      <c r="O285" s="15"/>
      <c r="P285" s="16"/>
      <c r="Q285" s="16"/>
      <c r="R285" s="16"/>
      <c r="S285" s="16"/>
      <c r="T285" s="16"/>
      <c r="U285" s="16"/>
      <c r="V285" s="16"/>
      <c r="W285" s="16"/>
      <c r="X285" s="16"/>
      <c r="Y285" s="16"/>
      <c r="Z285" s="17"/>
      <c r="AE285" s="398"/>
    </row>
    <row r="286" spans="1:31" s="59" customFormat="1" ht="29.25" hidden="1" customHeight="1">
      <c r="A286" s="8"/>
      <c r="B286" s="11" t="str">
        <f>+IFERROR(VLOOKUP(C286,Listas!$L$8:$M$101,2,FALSE),"")</f>
        <v>10060101</v>
      </c>
      <c r="C286" s="334" t="s">
        <v>488</v>
      </c>
      <c r="D286" s="274"/>
      <c r="E286" s="275"/>
      <c r="F286" s="357"/>
      <c r="G286" s="385"/>
      <c r="H286" s="9" t="str">
        <f>+IF(I286=""," ",VLOOKUP(I286,Listas!$I$8:$J$10,2,FALSE))</f>
        <v xml:space="preserve"> </v>
      </c>
      <c r="I286" s="495"/>
      <c r="J286" s="356" t="str">
        <f>+IF(K286=""," ",VLOOKUP(K286,PUC!$B:$C,2,FALSE))</f>
        <v xml:space="preserve"> </v>
      </c>
      <c r="K286" s="334"/>
      <c r="L286" s="11" t="str">
        <f>+IF(M286=""," ",VLOOKUP(M286,Listas!$F$9:$G$17,2,FALSE))</f>
        <v>02</v>
      </c>
      <c r="M286" s="475" t="s">
        <v>444</v>
      </c>
      <c r="N286" s="398">
        <f t="shared" si="4"/>
        <v>0</v>
      </c>
      <c r="O286" s="15"/>
      <c r="P286" s="16"/>
      <c r="Q286" s="16"/>
      <c r="R286" s="16"/>
      <c r="S286" s="16"/>
      <c r="T286" s="16"/>
      <c r="U286" s="16"/>
      <c r="V286" s="16"/>
      <c r="W286" s="16"/>
      <c r="X286" s="16"/>
      <c r="Y286" s="16"/>
      <c r="Z286" s="17"/>
      <c r="AE286" s="398"/>
    </row>
    <row r="287" spans="1:31" s="59" customFormat="1" ht="29.25" hidden="1" customHeight="1">
      <c r="A287" s="8"/>
      <c r="B287" s="11" t="str">
        <f>+IFERROR(VLOOKUP(C287,Listas!$L$8:$M$101,2,FALSE),"")</f>
        <v>10060101</v>
      </c>
      <c r="C287" s="334" t="s">
        <v>488</v>
      </c>
      <c r="D287" s="274"/>
      <c r="E287" s="275"/>
      <c r="F287" s="357"/>
      <c r="G287" s="385"/>
      <c r="H287" s="9" t="str">
        <f>+IF(I287=""," ",VLOOKUP(I287,Listas!$I$8:$J$10,2,FALSE))</f>
        <v xml:space="preserve"> </v>
      </c>
      <c r="I287" s="495"/>
      <c r="J287" s="356" t="str">
        <f>+IF(K287=""," ",VLOOKUP(K287,PUC!$B:$C,2,FALSE))</f>
        <v xml:space="preserve"> </v>
      </c>
      <c r="K287" s="334"/>
      <c r="L287" s="11" t="str">
        <f>+IF(M287=""," ",VLOOKUP(M287,Listas!$F$9:$G$17,2,FALSE))</f>
        <v>02</v>
      </c>
      <c r="M287" s="475" t="s">
        <v>444</v>
      </c>
      <c r="N287" s="398">
        <f t="shared" si="4"/>
        <v>0</v>
      </c>
      <c r="O287" s="15"/>
      <c r="P287" s="16"/>
      <c r="Q287" s="16"/>
      <c r="R287" s="16"/>
      <c r="S287" s="16"/>
      <c r="T287" s="16"/>
      <c r="U287" s="16"/>
      <c r="V287" s="16"/>
      <c r="W287" s="16"/>
      <c r="X287" s="16"/>
      <c r="Y287" s="16"/>
      <c r="Z287" s="17"/>
      <c r="AE287" s="398"/>
    </row>
    <row r="288" spans="1:31" s="59" customFormat="1" ht="29.25" hidden="1" customHeight="1">
      <c r="A288" s="8"/>
      <c r="B288" s="11" t="str">
        <f>+IFERROR(VLOOKUP(C288,Listas!$L$8:$M$101,2,FALSE),"")</f>
        <v>10060101</v>
      </c>
      <c r="C288" s="334" t="s">
        <v>488</v>
      </c>
      <c r="D288" s="274"/>
      <c r="E288" s="275"/>
      <c r="F288" s="274"/>
      <c r="G288" s="275"/>
      <c r="H288" s="9" t="str">
        <f>+IF(I288=""," ",VLOOKUP(I288,Listas!$I$8:$J$10,2,FALSE))</f>
        <v xml:space="preserve"> </v>
      </c>
      <c r="I288" s="495"/>
      <c r="J288" s="356" t="str">
        <f>+IF(K288=""," ",VLOOKUP(K288,PUC!$B:$C,2,FALSE))</f>
        <v xml:space="preserve"> </v>
      </c>
      <c r="K288" s="334"/>
      <c r="L288" s="11" t="str">
        <f>+IF(M288=""," ",VLOOKUP(M288,Listas!$F$9:$G$17,2,FALSE))</f>
        <v>02</v>
      </c>
      <c r="M288" s="475" t="s">
        <v>444</v>
      </c>
      <c r="N288" s="398">
        <f t="shared" si="4"/>
        <v>0</v>
      </c>
      <c r="O288" s="15"/>
      <c r="P288" s="16"/>
      <c r="Q288" s="16"/>
      <c r="R288" s="16"/>
      <c r="S288" s="16"/>
      <c r="T288" s="16"/>
      <c r="U288" s="16"/>
      <c r="V288" s="16"/>
      <c r="W288" s="16"/>
      <c r="X288" s="16"/>
      <c r="Y288" s="16"/>
      <c r="Z288" s="17"/>
      <c r="AE288" s="398"/>
    </row>
    <row r="289" spans="1:31" s="59" customFormat="1" ht="29.25" hidden="1" customHeight="1">
      <c r="A289" s="8"/>
      <c r="B289" s="11" t="str">
        <f>+IFERROR(VLOOKUP(C289,Listas!$L$8:$M$101,2,FALSE),"")</f>
        <v>10060101</v>
      </c>
      <c r="C289" s="334" t="s">
        <v>488</v>
      </c>
      <c r="D289" s="274"/>
      <c r="E289" s="275"/>
      <c r="F289" s="274"/>
      <c r="G289" s="275"/>
      <c r="H289" s="9" t="str">
        <f>+IF(I289=""," ",VLOOKUP(I289,Listas!$I$8:$J$10,2,FALSE))</f>
        <v xml:space="preserve"> </v>
      </c>
      <c r="I289" s="495"/>
      <c r="J289" s="356" t="str">
        <f>+IF(K289=""," ",VLOOKUP(K289,PUC!$B:$C,2,FALSE))</f>
        <v xml:space="preserve"> </v>
      </c>
      <c r="K289" s="334"/>
      <c r="L289" s="11" t="str">
        <f>+IF(M289=""," ",VLOOKUP(M289,Listas!$F$9:$G$17,2,FALSE))</f>
        <v>02</v>
      </c>
      <c r="M289" s="475" t="s">
        <v>444</v>
      </c>
      <c r="N289" s="398">
        <f t="shared" si="4"/>
        <v>0</v>
      </c>
      <c r="O289" s="15"/>
      <c r="P289" s="16"/>
      <c r="Q289" s="16"/>
      <c r="R289" s="16"/>
      <c r="S289" s="16"/>
      <c r="T289" s="16"/>
      <c r="U289" s="16"/>
      <c r="V289" s="16"/>
      <c r="W289" s="16"/>
      <c r="X289" s="16"/>
      <c r="Y289" s="16"/>
      <c r="Z289" s="17"/>
      <c r="AE289" s="398"/>
    </row>
    <row r="290" spans="1:31" s="59" customFormat="1" ht="29.25" hidden="1" customHeight="1" thickBot="1">
      <c r="A290" s="8"/>
      <c r="B290" s="22" t="str">
        <f>+IFERROR(VLOOKUP(C290,Listas!$L$8:$M$101,2,FALSE),"")</f>
        <v>10060101</v>
      </c>
      <c r="C290" s="340" t="s">
        <v>488</v>
      </c>
      <c r="D290" s="278"/>
      <c r="E290" s="279"/>
      <c r="F290" s="278"/>
      <c r="G290" s="279"/>
      <c r="H290" s="21" t="str">
        <f>+IF(I290=""," ",VLOOKUP(I290,Listas!$I$8:$J$10,2,FALSE))</f>
        <v xml:space="preserve"> </v>
      </c>
      <c r="I290" s="496"/>
      <c r="J290" s="363" t="str">
        <f>+IF(K290=""," ",VLOOKUP(K290,PUC!$B:$C,2,FALSE))</f>
        <v xml:space="preserve"> </v>
      </c>
      <c r="K290" s="340"/>
      <c r="L290" s="22" t="str">
        <f>+IF(M290=""," ",VLOOKUP(M290,Listas!$F$9:$G$17,2,FALSE))</f>
        <v>02</v>
      </c>
      <c r="M290" s="476" t="s">
        <v>444</v>
      </c>
      <c r="N290" s="399">
        <f t="shared" si="4"/>
        <v>0</v>
      </c>
      <c r="O290" s="23"/>
      <c r="P290" s="24"/>
      <c r="Q290" s="24"/>
      <c r="R290" s="24"/>
      <c r="S290" s="24"/>
      <c r="T290" s="24"/>
      <c r="U290" s="24"/>
      <c r="V290" s="24"/>
      <c r="W290" s="24"/>
      <c r="X290" s="24"/>
      <c r="Y290" s="24"/>
      <c r="Z290" s="25"/>
      <c r="AE290" s="399"/>
    </row>
    <row r="291" spans="1:31" s="59" customFormat="1" ht="51">
      <c r="A291" s="8"/>
      <c r="B291" s="20" t="str">
        <f>+IFERROR(VLOOKUP(C291,Listas!$L$8:$M$101,2,FALSE),"")</f>
        <v>10070101</v>
      </c>
      <c r="C291" s="339" t="s">
        <v>491</v>
      </c>
      <c r="D291" s="276"/>
      <c r="E291" s="277"/>
      <c r="F291" s="630" t="s">
        <v>1178</v>
      </c>
      <c r="G291" s="386" t="s">
        <v>1179</v>
      </c>
      <c r="H291" s="18" t="str">
        <f>+IF(I291=""," ",VLOOKUP(I291,Listas!$I$8:$J$10,2,FALSE))</f>
        <v xml:space="preserve"> </v>
      </c>
      <c r="I291" s="497"/>
      <c r="J291" s="362" t="str">
        <f>+IF(K291=""," ",VLOOKUP(K291,PUC!$B:$C,2,FALSE))</f>
        <v xml:space="preserve"> </v>
      </c>
      <c r="K291" s="339"/>
      <c r="L291" s="20" t="str">
        <f>+IF(M291=""," ",VLOOKUP(M291,Listas!$F$9:$G$17,2,FALSE))</f>
        <v>09</v>
      </c>
      <c r="M291" s="477" t="s">
        <v>458</v>
      </c>
      <c r="N291" s="346">
        <f t="shared" si="4"/>
        <v>0</v>
      </c>
      <c r="O291" s="12"/>
      <c r="P291" s="13"/>
      <c r="Q291" s="13"/>
      <c r="R291" s="13"/>
      <c r="S291" s="13"/>
      <c r="T291" s="13"/>
      <c r="U291" s="13"/>
      <c r="V291" s="13"/>
      <c r="W291" s="13"/>
      <c r="X291" s="13"/>
      <c r="Y291" s="13"/>
      <c r="Z291" s="14"/>
      <c r="AE291" s="346"/>
    </row>
    <row r="292" spans="1:31" s="59" customFormat="1" ht="38.25">
      <c r="A292" s="8"/>
      <c r="B292" s="11" t="str">
        <f>+IFERROR(VLOOKUP(C292,Listas!$L$8:$M$101,2,FALSE),"")</f>
        <v>10070101</v>
      </c>
      <c r="C292" s="334" t="s">
        <v>491</v>
      </c>
      <c r="D292" s="274"/>
      <c r="E292" s="275"/>
      <c r="F292" s="629"/>
      <c r="G292" s="385" t="s">
        <v>1180</v>
      </c>
      <c r="H292" s="9" t="str">
        <f>+IF(I292=""," ",VLOOKUP(I292,Listas!$I$8:$J$10,2,FALSE))</f>
        <v xml:space="preserve"> </v>
      </c>
      <c r="I292" s="495"/>
      <c r="J292" s="356" t="str">
        <f>+IF(K292=""," ",VLOOKUP(K292,PUC!$B:$C,2,FALSE))</f>
        <v xml:space="preserve"> </v>
      </c>
      <c r="K292" s="334"/>
      <c r="L292" s="11" t="str">
        <f>+IF(M292=""," ",VLOOKUP(M292,Listas!$F$9:$G$17,2,FALSE))</f>
        <v>09</v>
      </c>
      <c r="M292" s="475" t="s">
        <v>458</v>
      </c>
      <c r="N292" s="345">
        <f t="shared" si="4"/>
        <v>0</v>
      </c>
      <c r="O292" s="15"/>
      <c r="P292" s="16"/>
      <c r="Q292" s="16"/>
      <c r="R292" s="16"/>
      <c r="S292" s="16"/>
      <c r="T292" s="16"/>
      <c r="U292" s="16"/>
      <c r="V292" s="16"/>
      <c r="W292" s="16"/>
      <c r="X292" s="16"/>
      <c r="Y292" s="16"/>
      <c r="Z292" s="17"/>
      <c r="AE292" s="345"/>
    </row>
    <row r="293" spans="1:31" s="59" customFormat="1" ht="38.25">
      <c r="A293" s="8"/>
      <c r="B293" s="11" t="str">
        <f>+IFERROR(VLOOKUP(C293,Listas!$L$8:$M$101,2,FALSE),"")</f>
        <v>10070101</v>
      </c>
      <c r="C293" s="334" t="s">
        <v>491</v>
      </c>
      <c r="D293" s="274"/>
      <c r="E293" s="275"/>
      <c r="F293" s="627" t="s">
        <v>1181</v>
      </c>
      <c r="G293" s="385" t="s">
        <v>1182</v>
      </c>
      <c r="H293" s="9" t="str">
        <f>+IF(I293=""," ",VLOOKUP(I293,Listas!$I$8:$J$10,2,FALSE))</f>
        <v xml:space="preserve"> </v>
      </c>
      <c r="I293" s="495"/>
      <c r="J293" s="356" t="str">
        <f>+IF(K293=""," ",VLOOKUP(K293,PUC!$B:$C,2,FALSE))</f>
        <v xml:space="preserve"> </v>
      </c>
      <c r="K293" s="334"/>
      <c r="L293" s="11" t="str">
        <f>+IF(M293=""," ",VLOOKUP(M293,Listas!$F$9:$G$17,2,FALSE))</f>
        <v>09</v>
      </c>
      <c r="M293" s="475" t="s">
        <v>458</v>
      </c>
      <c r="N293" s="345">
        <f t="shared" si="4"/>
        <v>0</v>
      </c>
      <c r="O293" s="15"/>
      <c r="P293" s="16"/>
      <c r="Q293" s="16"/>
      <c r="R293" s="16"/>
      <c r="S293" s="16"/>
      <c r="T293" s="16"/>
      <c r="U293" s="16"/>
      <c r="V293" s="16"/>
      <c r="W293" s="16"/>
      <c r="X293" s="16"/>
      <c r="Y293" s="16"/>
      <c r="Z293" s="17"/>
      <c r="AE293" s="345"/>
    </row>
    <row r="294" spans="1:31" s="59" customFormat="1" ht="38.25">
      <c r="A294" s="8"/>
      <c r="B294" s="11" t="str">
        <f>+IFERROR(VLOOKUP(C294,Listas!$L$8:$M$101,2,FALSE),"")</f>
        <v>10070101</v>
      </c>
      <c r="C294" s="334" t="s">
        <v>491</v>
      </c>
      <c r="D294" s="274"/>
      <c r="E294" s="275"/>
      <c r="F294" s="629"/>
      <c r="G294" s="385" t="s">
        <v>1183</v>
      </c>
      <c r="H294" s="9" t="str">
        <f>+IF(I294=""," ",VLOOKUP(I294,Listas!$I$8:$J$10,2,FALSE))</f>
        <v xml:space="preserve"> </v>
      </c>
      <c r="I294" s="495"/>
      <c r="J294" s="356" t="str">
        <f>+IF(K294=""," ",VLOOKUP(K294,PUC!$B:$C,2,FALSE))</f>
        <v xml:space="preserve"> </v>
      </c>
      <c r="K294" s="334"/>
      <c r="L294" s="11" t="str">
        <f>+IF(M294=""," ",VLOOKUP(M294,Listas!$F$9:$G$17,2,FALSE))</f>
        <v>09</v>
      </c>
      <c r="M294" s="475" t="s">
        <v>458</v>
      </c>
      <c r="N294" s="345">
        <f t="shared" si="4"/>
        <v>0</v>
      </c>
      <c r="O294" s="15"/>
      <c r="P294" s="16"/>
      <c r="Q294" s="16"/>
      <c r="R294" s="16"/>
      <c r="S294" s="16"/>
      <c r="T294" s="16"/>
      <c r="U294" s="16"/>
      <c r="V294" s="16"/>
      <c r="W294" s="16"/>
      <c r="X294" s="16"/>
      <c r="Y294" s="16"/>
      <c r="Z294" s="17"/>
      <c r="AE294" s="345"/>
    </row>
    <row r="295" spans="1:31" s="59" customFormat="1" ht="38.25" customHeight="1">
      <c r="A295" s="8"/>
      <c r="B295" s="11" t="str">
        <f>+IFERROR(VLOOKUP(C295,Listas!$L$8:$M$101,2,FALSE),"")</f>
        <v>10070101</v>
      </c>
      <c r="C295" s="334" t="s">
        <v>491</v>
      </c>
      <c r="D295" s="274"/>
      <c r="E295" s="275"/>
      <c r="F295" s="627" t="s">
        <v>1184</v>
      </c>
      <c r="G295" s="385" t="s">
        <v>1185</v>
      </c>
      <c r="H295" s="9" t="str">
        <f>+IF(I295=""," ",VLOOKUP(I295,Listas!$I$8:$J$10,2,FALSE))</f>
        <v xml:space="preserve"> </v>
      </c>
      <c r="I295" s="495"/>
      <c r="J295" s="356" t="str">
        <f>+IF(K295=""," ",VLOOKUP(K295,PUC!$B:$C,2,FALSE))</f>
        <v xml:space="preserve"> </v>
      </c>
      <c r="K295" s="334"/>
      <c r="L295" s="11" t="str">
        <f>+IF(M295=""," ",VLOOKUP(M295,Listas!$F$9:$G$17,2,FALSE))</f>
        <v>09</v>
      </c>
      <c r="M295" s="475" t="s">
        <v>458</v>
      </c>
      <c r="N295" s="345">
        <f t="shared" si="4"/>
        <v>0</v>
      </c>
      <c r="O295" s="15"/>
      <c r="P295" s="16"/>
      <c r="Q295" s="16"/>
      <c r="R295" s="16"/>
      <c r="S295" s="16"/>
      <c r="T295" s="16"/>
      <c r="U295" s="16"/>
      <c r="V295" s="16"/>
      <c r="W295" s="16"/>
      <c r="X295" s="16"/>
      <c r="Y295" s="16"/>
      <c r="Z295" s="17"/>
      <c r="AE295" s="345"/>
    </row>
    <row r="296" spans="1:31" s="59" customFormat="1" ht="38.25">
      <c r="A296" s="8"/>
      <c r="B296" s="11" t="str">
        <f>+IFERROR(VLOOKUP(C296,Listas!$L$8:$M$101,2,FALSE),"")</f>
        <v>10070101</v>
      </c>
      <c r="C296" s="334" t="s">
        <v>491</v>
      </c>
      <c r="D296" s="274"/>
      <c r="E296" s="275"/>
      <c r="F296" s="629"/>
      <c r="G296" s="385" t="s">
        <v>1186</v>
      </c>
      <c r="H296" s="9" t="str">
        <f>+IF(I296=""," ",VLOOKUP(I296,Listas!$I$8:$J$10,2,FALSE))</f>
        <v xml:space="preserve"> </v>
      </c>
      <c r="I296" s="495"/>
      <c r="J296" s="356" t="str">
        <f>+IF(K296=""," ",VLOOKUP(K296,PUC!$B:$C,2,FALSE))</f>
        <v xml:space="preserve"> </v>
      </c>
      <c r="K296" s="334"/>
      <c r="L296" s="11" t="str">
        <f>+IF(M296=""," ",VLOOKUP(M296,Listas!$F$9:$G$17,2,FALSE))</f>
        <v>09</v>
      </c>
      <c r="M296" s="475" t="s">
        <v>458</v>
      </c>
      <c r="N296" s="345">
        <f t="shared" si="4"/>
        <v>0</v>
      </c>
      <c r="O296" s="15"/>
      <c r="P296" s="16"/>
      <c r="Q296" s="16"/>
      <c r="R296" s="16"/>
      <c r="S296" s="16"/>
      <c r="T296" s="16"/>
      <c r="U296" s="16"/>
      <c r="V296" s="16"/>
      <c r="W296" s="16"/>
      <c r="X296" s="16"/>
      <c r="Y296" s="16"/>
      <c r="Z296" s="17"/>
      <c r="AE296" s="345"/>
    </row>
    <row r="297" spans="1:31" s="59" customFormat="1" ht="38.25">
      <c r="A297" s="8"/>
      <c r="B297" s="11" t="str">
        <f>+IFERROR(VLOOKUP(C297,Listas!$L$8:$M$101,2,FALSE),"")</f>
        <v>10070101</v>
      </c>
      <c r="C297" s="334" t="s">
        <v>491</v>
      </c>
      <c r="D297" s="274"/>
      <c r="E297" s="275"/>
      <c r="F297" s="357" t="s">
        <v>1187</v>
      </c>
      <c r="G297" s="385" t="s">
        <v>1188</v>
      </c>
      <c r="H297" s="9" t="str">
        <f>+IF(I297=""," ",VLOOKUP(I297,Listas!$I$8:$J$10,2,FALSE))</f>
        <v xml:space="preserve"> </v>
      </c>
      <c r="I297" s="495"/>
      <c r="J297" s="356" t="str">
        <f>+IF(K297=""," ",VLOOKUP(K297,PUC!$B:$C,2,FALSE))</f>
        <v xml:space="preserve"> </v>
      </c>
      <c r="K297" s="334"/>
      <c r="L297" s="11" t="str">
        <f>+IF(M297=""," ",VLOOKUP(M297,Listas!$F$9:$G$17,2,FALSE))</f>
        <v>09</v>
      </c>
      <c r="M297" s="475" t="s">
        <v>458</v>
      </c>
      <c r="N297" s="345">
        <f t="shared" si="4"/>
        <v>0</v>
      </c>
      <c r="O297" s="15"/>
      <c r="P297" s="16"/>
      <c r="Q297" s="16"/>
      <c r="R297" s="16"/>
      <c r="S297" s="16"/>
      <c r="T297" s="16"/>
      <c r="U297" s="16"/>
      <c r="V297" s="16"/>
      <c r="W297" s="16"/>
      <c r="X297" s="16"/>
      <c r="Y297" s="16"/>
      <c r="Z297" s="17"/>
      <c r="AE297" s="345"/>
    </row>
    <row r="298" spans="1:31" s="59" customFormat="1" ht="38.25">
      <c r="A298" s="8"/>
      <c r="B298" s="11" t="str">
        <f>+IFERROR(VLOOKUP(C298,Listas!$L$8:$M$101,2,FALSE),"")</f>
        <v>10070101</v>
      </c>
      <c r="C298" s="334" t="s">
        <v>491</v>
      </c>
      <c r="D298" s="274"/>
      <c r="E298" s="275"/>
      <c r="F298" s="627" t="s">
        <v>1189</v>
      </c>
      <c r="G298" s="385" t="s">
        <v>1190</v>
      </c>
      <c r="H298" s="9" t="str">
        <f>+IF(I298=""," ",VLOOKUP(I298,Listas!$I$8:$J$10,2,FALSE))</f>
        <v xml:space="preserve"> </v>
      </c>
      <c r="I298" s="495"/>
      <c r="J298" s="356" t="str">
        <f>+IF(K298=""," ",VLOOKUP(K298,PUC!$B:$C,2,FALSE))</f>
        <v xml:space="preserve"> </v>
      </c>
      <c r="K298" s="334"/>
      <c r="L298" s="11" t="str">
        <f>+IF(M298=""," ",VLOOKUP(M298,Listas!$F$9:$G$17,2,FALSE))</f>
        <v>09</v>
      </c>
      <c r="M298" s="475" t="s">
        <v>458</v>
      </c>
      <c r="N298" s="345">
        <f t="shared" si="4"/>
        <v>0</v>
      </c>
      <c r="O298" s="15"/>
      <c r="P298" s="16"/>
      <c r="Q298" s="16"/>
      <c r="R298" s="16"/>
      <c r="S298" s="16"/>
      <c r="T298" s="16"/>
      <c r="U298" s="16"/>
      <c r="V298" s="16"/>
      <c r="W298" s="16"/>
      <c r="X298" s="16"/>
      <c r="Y298" s="16"/>
      <c r="Z298" s="17"/>
      <c r="AE298" s="345"/>
    </row>
    <row r="299" spans="1:31" s="59" customFormat="1" ht="38.25">
      <c r="A299" s="8"/>
      <c r="B299" s="11" t="str">
        <f>+IFERROR(VLOOKUP(C299,Listas!$L$8:$M$101,2,FALSE),"")</f>
        <v>10070101</v>
      </c>
      <c r="C299" s="334" t="s">
        <v>491</v>
      </c>
      <c r="D299" s="274"/>
      <c r="E299" s="275"/>
      <c r="F299" s="629"/>
      <c r="G299" s="385" t="s">
        <v>1191</v>
      </c>
      <c r="H299" s="9" t="str">
        <f>+IF(I299=""," ",VLOOKUP(I299,Listas!$I$8:$J$10,2,FALSE))</f>
        <v xml:space="preserve"> </v>
      </c>
      <c r="I299" s="495"/>
      <c r="J299" s="356" t="str">
        <f>+IF(K299=""," ",VLOOKUP(K299,PUC!$B:$C,2,FALSE))</f>
        <v xml:space="preserve"> </v>
      </c>
      <c r="K299" s="334"/>
      <c r="L299" s="11" t="str">
        <f>+IF(M299=""," ",VLOOKUP(M299,Listas!$F$9:$G$17,2,FALSE))</f>
        <v>09</v>
      </c>
      <c r="M299" s="475" t="s">
        <v>458</v>
      </c>
      <c r="N299" s="345">
        <f t="shared" si="4"/>
        <v>0</v>
      </c>
      <c r="O299" s="15"/>
      <c r="P299" s="16"/>
      <c r="Q299" s="16"/>
      <c r="R299" s="16"/>
      <c r="S299" s="16"/>
      <c r="T299" s="16"/>
      <c r="U299" s="16"/>
      <c r="V299" s="16"/>
      <c r="W299" s="16"/>
      <c r="X299" s="16"/>
      <c r="Y299" s="16"/>
      <c r="Z299" s="17"/>
      <c r="AE299" s="345"/>
    </row>
    <row r="300" spans="1:31" s="59" customFormat="1" ht="51">
      <c r="A300" s="8"/>
      <c r="B300" s="11" t="str">
        <f>+IFERROR(VLOOKUP(C300,Listas!$L$8:$M$101,2,FALSE),"")</f>
        <v>10070101</v>
      </c>
      <c r="C300" s="334" t="s">
        <v>491</v>
      </c>
      <c r="D300" s="274"/>
      <c r="E300" s="275"/>
      <c r="F300" s="357" t="s">
        <v>1192</v>
      </c>
      <c r="G300" s="385" t="s">
        <v>1193</v>
      </c>
      <c r="H300" s="9" t="str">
        <f>+IF(I300=""," ",VLOOKUP(I300,Listas!$I$8:$J$10,2,FALSE))</f>
        <v xml:space="preserve"> </v>
      </c>
      <c r="I300" s="495"/>
      <c r="J300" s="356" t="str">
        <f>+IF(K300=""," ",VLOOKUP(K300,PUC!$B:$C,2,FALSE))</f>
        <v xml:space="preserve"> </v>
      </c>
      <c r="K300" s="334"/>
      <c r="L300" s="11" t="str">
        <f>+IF(M300=""," ",VLOOKUP(M300,Listas!$F$9:$G$17,2,FALSE))</f>
        <v>09</v>
      </c>
      <c r="M300" s="475" t="s">
        <v>458</v>
      </c>
      <c r="N300" s="345">
        <f t="shared" si="4"/>
        <v>0</v>
      </c>
      <c r="O300" s="15"/>
      <c r="P300" s="16"/>
      <c r="Q300" s="16"/>
      <c r="R300" s="16"/>
      <c r="S300" s="16"/>
      <c r="T300" s="16"/>
      <c r="U300" s="16"/>
      <c r="V300" s="16"/>
      <c r="W300" s="16"/>
      <c r="X300" s="16"/>
      <c r="Y300" s="16"/>
      <c r="Z300" s="17"/>
      <c r="AE300" s="345"/>
    </row>
    <row r="301" spans="1:31" s="59" customFormat="1" ht="29.25" customHeight="1">
      <c r="A301" s="8"/>
      <c r="B301" s="11" t="str">
        <f>+IFERROR(VLOOKUP(C301,Listas!$L$8:$M$101,2,FALSE),"")</f>
        <v>10070101</v>
      </c>
      <c r="C301" s="334" t="s">
        <v>491</v>
      </c>
      <c r="D301" s="274"/>
      <c r="E301" s="275"/>
      <c r="F301" s="357"/>
      <c r="G301" s="385"/>
      <c r="H301" s="9" t="str">
        <f>+IF(I301=""," ",VLOOKUP(I301,Listas!$I$8:$J$10,2,FALSE))</f>
        <v xml:space="preserve"> </v>
      </c>
      <c r="I301" s="495"/>
      <c r="J301" s="356" t="str">
        <f>+IF(K301=""," ",VLOOKUP(K301,PUC!$B:$C,2,FALSE))</f>
        <v xml:space="preserve"> </v>
      </c>
      <c r="K301" s="334"/>
      <c r="L301" s="11" t="str">
        <f>+IF(M301=""," ",VLOOKUP(M301,Listas!$F$9:$G$17,2,FALSE))</f>
        <v>09</v>
      </c>
      <c r="M301" s="475" t="s">
        <v>458</v>
      </c>
      <c r="N301" s="345">
        <f t="shared" si="4"/>
        <v>0</v>
      </c>
      <c r="O301" s="15"/>
      <c r="P301" s="16"/>
      <c r="Q301" s="16"/>
      <c r="R301" s="16"/>
      <c r="S301" s="16"/>
      <c r="T301" s="16"/>
      <c r="U301" s="16"/>
      <c r="V301" s="16"/>
      <c r="W301" s="16"/>
      <c r="X301" s="16"/>
      <c r="Y301" s="16"/>
      <c r="Z301" s="17"/>
      <c r="AE301" s="345"/>
    </row>
    <row r="302" spans="1:31" s="59" customFormat="1" ht="29.25" customHeight="1">
      <c r="A302" s="8"/>
      <c r="B302" s="11" t="str">
        <f>+IFERROR(VLOOKUP(C302,Listas!$L$8:$M$101,2,FALSE),"")</f>
        <v>10070101</v>
      </c>
      <c r="C302" s="334" t="s">
        <v>491</v>
      </c>
      <c r="D302" s="274"/>
      <c r="E302" s="275"/>
      <c r="F302" s="357"/>
      <c r="G302" s="400" t="s">
        <v>1352</v>
      </c>
      <c r="H302" s="401" t="str">
        <f>+IF(I302=""," ",VLOOKUP(I302,Listas!$I$8:$J$10,2,FALSE))</f>
        <v>02</v>
      </c>
      <c r="I302" s="504" t="s">
        <v>464</v>
      </c>
      <c r="J302" s="403">
        <f>+IF(K302=""," ",VLOOKUP(K302,PUC!$B:$C,2,FALSE))</f>
        <v>6208020505</v>
      </c>
      <c r="K302" s="402" t="s">
        <v>804</v>
      </c>
      <c r="L302" s="404" t="str">
        <f>+IF(M302=""," ",VLOOKUP(M302,Listas!$F$9:$G$17,2,FALSE))</f>
        <v>09</v>
      </c>
      <c r="M302" s="482" t="s">
        <v>458</v>
      </c>
      <c r="N302" s="405">
        <f t="shared" si="4"/>
        <v>992000</v>
      </c>
      <c r="O302" s="15"/>
      <c r="P302" s="16"/>
      <c r="Q302" s="16"/>
      <c r="R302" s="16"/>
      <c r="S302" s="16"/>
      <c r="T302" s="16"/>
      <c r="U302" s="16"/>
      <c r="V302" s="16"/>
      <c r="W302" s="16"/>
      <c r="X302" s="16"/>
      <c r="Y302" s="16"/>
      <c r="Z302" s="17"/>
      <c r="AE302" s="405">
        <f>6960000-2000000</f>
        <v>4960000</v>
      </c>
    </row>
    <row r="303" spans="1:31" s="59" customFormat="1" ht="29.25" customHeight="1" thickBot="1">
      <c r="A303" s="8"/>
      <c r="B303" s="11" t="str">
        <f>+IFERROR(VLOOKUP(C303,Listas!$L$8:$M$101,2,FALSE),"")</f>
        <v>10070101</v>
      </c>
      <c r="C303" s="334" t="s">
        <v>491</v>
      </c>
      <c r="D303" s="274"/>
      <c r="E303" s="275"/>
      <c r="F303" s="357"/>
      <c r="G303" s="400"/>
      <c r="H303" s="401" t="str">
        <f>+IF(I303=""," ",VLOOKUP(I303,Listas!$I$8:$J$10,2,FALSE))</f>
        <v>02</v>
      </c>
      <c r="I303" s="504" t="s">
        <v>464</v>
      </c>
      <c r="J303" s="403">
        <f>+IF(K303=""," ",VLOOKUP(K303,PUC!$B:$C,2,FALSE))</f>
        <v>6208022001</v>
      </c>
      <c r="K303" s="402" t="s">
        <v>801</v>
      </c>
      <c r="L303" s="404" t="str">
        <f>+IF(M303=""," ",VLOOKUP(M303,Listas!$F$9:$G$17,2,FALSE))</f>
        <v>09</v>
      </c>
      <c r="M303" s="482" t="s">
        <v>458</v>
      </c>
      <c r="N303" s="405">
        <f t="shared" si="4"/>
        <v>400000</v>
      </c>
      <c r="O303" s="15"/>
      <c r="P303" s="16"/>
      <c r="Q303" s="16"/>
      <c r="R303" s="16"/>
      <c r="S303" s="16"/>
      <c r="T303" s="16"/>
      <c r="U303" s="16"/>
      <c r="V303" s="16"/>
      <c r="W303" s="16"/>
      <c r="X303" s="16"/>
      <c r="Y303" s="16"/>
      <c r="Z303" s="17"/>
      <c r="AE303" s="405">
        <v>2000000</v>
      </c>
    </row>
    <row r="304" spans="1:31" s="59" customFormat="1" ht="29.25" hidden="1" customHeight="1">
      <c r="A304" s="8"/>
      <c r="B304" s="11" t="str">
        <f>+IFERROR(VLOOKUP(C304,Listas!$L$8:$M$101,2,FALSE),"")</f>
        <v>10070101</v>
      </c>
      <c r="C304" s="334" t="s">
        <v>491</v>
      </c>
      <c r="D304" s="274"/>
      <c r="E304" s="275"/>
      <c r="F304" s="357"/>
      <c r="G304" s="400"/>
      <c r="H304" s="401" t="str">
        <f>+IF(I304=""," ",VLOOKUP(I304,Listas!$I$8:$J$10,2,FALSE))</f>
        <v>02</v>
      </c>
      <c r="I304" s="504" t="s">
        <v>464</v>
      </c>
      <c r="J304" s="403">
        <f>+IF(K304=""," ",VLOOKUP(K304,PUC!$B:$C,2,FALSE))</f>
        <v>6208021401</v>
      </c>
      <c r="K304" s="402" t="s">
        <v>868</v>
      </c>
      <c r="L304" s="404" t="str">
        <f>+IF(M304=""," ",VLOOKUP(M304,Listas!$F$9:$G$17,2,FALSE))</f>
        <v>09</v>
      </c>
      <c r="M304" s="482" t="s">
        <v>458</v>
      </c>
      <c r="N304" s="405">
        <f t="shared" si="4"/>
        <v>0</v>
      </c>
      <c r="O304" s="15"/>
      <c r="P304" s="16"/>
      <c r="Q304" s="16"/>
      <c r="R304" s="16"/>
      <c r="S304" s="16"/>
      <c r="T304" s="16"/>
      <c r="U304" s="16"/>
      <c r="V304" s="16"/>
      <c r="W304" s="16"/>
      <c r="X304" s="16"/>
      <c r="Y304" s="16"/>
      <c r="Z304" s="17"/>
      <c r="AE304" s="405"/>
    </row>
    <row r="305" spans="1:31" s="59" customFormat="1" ht="29.25" hidden="1" customHeight="1">
      <c r="A305" s="8"/>
      <c r="B305" s="11" t="str">
        <f>+IFERROR(VLOOKUP(C305,Listas!$L$8:$M$101,2,FALSE),"")</f>
        <v>10070101</v>
      </c>
      <c r="C305" s="334" t="s">
        <v>491</v>
      </c>
      <c r="D305" s="274"/>
      <c r="E305" s="275"/>
      <c r="F305" s="357"/>
      <c r="G305" s="461"/>
      <c r="H305" s="462" t="str">
        <f>+IF(I305=""," ",VLOOKUP(I305,Listas!$I$8:$J$10,2,FALSE))</f>
        <v>02</v>
      </c>
      <c r="I305" s="505" t="s">
        <v>464</v>
      </c>
      <c r="J305" s="464">
        <f>+IF(K305=""," ",VLOOKUP(K305,PUC!$B:$C,2,FALSE))</f>
        <v>6208020505</v>
      </c>
      <c r="K305" s="463" t="s">
        <v>804</v>
      </c>
      <c r="L305" s="465" t="str">
        <f>+IF(M305=""," ",VLOOKUP(M305,Listas!$F$9:$G$17,2,FALSE))</f>
        <v>09</v>
      </c>
      <c r="M305" s="483" t="s">
        <v>458</v>
      </c>
      <c r="N305" s="466">
        <f t="shared" si="4"/>
        <v>0</v>
      </c>
      <c r="O305" s="15"/>
      <c r="P305" s="16"/>
      <c r="Q305" s="16"/>
      <c r="R305" s="16"/>
      <c r="S305" s="16"/>
      <c r="T305" s="16"/>
      <c r="U305" s="16"/>
      <c r="V305" s="16"/>
      <c r="W305" s="16"/>
      <c r="X305" s="16"/>
      <c r="Y305" s="16"/>
      <c r="Z305" s="17"/>
      <c r="AE305" s="466"/>
    </row>
    <row r="306" spans="1:31" s="59" customFormat="1" ht="29.25" hidden="1" customHeight="1">
      <c r="A306" s="8"/>
      <c r="B306" s="11" t="str">
        <f>+IFERROR(VLOOKUP(C306,Listas!$L$8:$M$101,2,FALSE),"")</f>
        <v>10070101</v>
      </c>
      <c r="C306" s="334" t="s">
        <v>491</v>
      </c>
      <c r="D306" s="274"/>
      <c r="E306" s="275"/>
      <c r="F306" s="357"/>
      <c r="G306" s="461"/>
      <c r="H306" s="462" t="str">
        <f>+IF(I306=""," ",VLOOKUP(I306,Listas!$I$8:$J$10,2,FALSE))</f>
        <v>02</v>
      </c>
      <c r="I306" s="505" t="s">
        <v>464</v>
      </c>
      <c r="J306" s="464">
        <f>+IF(K306=""," ",VLOOKUP(K306,PUC!$B:$C,2,FALSE))</f>
        <v>6208022001</v>
      </c>
      <c r="K306" s="463" t="s">
        <v>801</v>
      </c>
      <c r="L306" s="465" t="str">
        <f>+IF(M306=""," ",VLOOKUP(M306,Listas!$F$9:$G$17,2,FALSE))</f>
        <v>09</v>
      </c>
      <c r="M306" s="483" t="s">
        <v>458</v>
      </c>
      <c r="N306" s="466">
        <f t="shared" si="4"/>
        <v>0</v>
      </c>
      <c r="O306" s="15"/>
      <c r="P306" s="16"/>
      <c r="Q306" s="16"/>
      <c r="R306" s="16"/>
      <c r="S306" s="16"/>
      <c r="T306" s="16"/>
      <c r="U306" s="16"/>
      <c r="V306" s="16"/>
      <c r="W306" s="16"/>
      <c r="X306" s="16"/>
      <c r="Y306" s="16"/>
      <c r="Z306" s="17"/>
      <c r="AE306" s="466"/>
    </row>
    <row r="307" spans="1:31" s="59" customFormat="1" ht="29.25" hidden="1" customHeight="1">
      <c r="A307" s="8"/>
      <c r="B307" s="11" t="str">
        <f>+IFERROR(VLOOKUP(C307,Listas!$L$8:$M$101,2,FALSE),"")</f>
        <v>10070101</v>
      </c>
      <c r="C307" s="334" t="s">
        <v>491</v>
      </c>
      <c r="D307" s="274"/>
      <c r="E307" s="275"/>
      <c r="F307" s="357"/>
      <c r="G307" s="461"/>
      <c r="H307" s="462" t="str">
        <f>+IF(I307=""," ",VLOOKUP(I307,Listas!$I$8:$J$10,2,FALSE))</f>
        <v>02</v>
      </c>
      <c r="I307" s="505" t="s">
        <v>464</v>
      </c>
      <c r="J307" s="464">
        <f>+IF(K307=""," ",VLOOKUP(K307,PUC!$B:$C,2,FALSE))</f>
        <v>6208021401</v>
      </c>
      <c r="K307" s="463" t="s">
        <v>868</v>
      </c>
      <c r="L307" s="465" t="str">
        <f>+IF(M307=""," ",VLOOKUP(M307,Listas!$F$9:$G$17,2,FALSE))</f>
        <v>09</v>
      </c>
      <c r="M307" s="483" t="s">
        <v>458</v>
      </c>
      <c r="N307" s="466">
        <f t="shared" si="4"/>
        <v>0</v>
      </c>
      <c r="O307" s="15"/>
      <c r="P307" s="16"/>
      <c r="Q307" s="16"/>
      <c r="R307" s="16"/>
      <c r="S307" s="16"/>
      <c r="T307" s="16"/>
      <c r="U307" s="16"/>
      <c r="V307" s="16"/>
      <c r="W307" s="16"/>
      <c r="X307" s="16"/>
      <c r="Y307" s="16"/>
      <c r="Z307" s="17"/>
      <c r="AE307" s="466"/>
    </row>
    <row r="308" spans="1:31" s="59" customFormat="1" ht="29.25" hidden="1" customHeight="1">
      <c r="A308" s="8"/>
      <c r="B308" s="11" t="str">
        <f>+IFERROR(VLOOKUP(C308,Listas!$L$8:$M$101,2,FALSE),"")</f>
        <v>10070101</v>
      </c>
      <c r="C308" s="334" t="s">
        <v>491</v>
      </c>
      <c r="D308" s="274"/>
      <c r="E308" s="275"/>
      <c r="F308" s="357"/>
      <c r="G308" s="461"/>
      <c r="H308" s="462" t="str">
        <f>+IF(I308=""," ",VLOOKUP(I308,Listas!$I$8:$J$10,2,FALSE))</f>
        <v>02</v>
      </c>
      <c r="I308" s="505" t="s">
        <v>464</v>
      </c>
      <c r="J308" s="464">
        <f>+IF(K308=""," ",VLOOKUP(K308,PUC!$B:$C,2,FALSE))</f>
        <v>6208020505</v>
      </c>
      <c r="K308" s="463" t="s">
        <v>804</v>
      </c>
      <c r="L308" s="465" t="str">
        <f>+IF(M308=""," ",VLOOKUP(M308,Listas!$F$9:$G$17,2,FALSE))</f>
        <v>09</v>
      </c>
      <c r="M308" s="483" t="s">
        <v>458</v>
      </c>
      <c r="N308" s="466">
        <f t="shared" si="4"/>
        <v>0</v>
      </c>
      <c r="O308" s="15"/>
      <c r="P308" s="16"/>
      <c r="Q308" s="16"/>
      <c r="R308" s="16"/>
      <c r="S308" s="16"/>
      <c r="T308" s="16"/>
      <c r="U308" s="16"/>
      <c r="V308" s="16"/>
      <c r="W308" s="16"/>
      <c r="X308" s="16"/>
      <c r="Y308" s="16"/>
      <c r="Z308" s="17"/>
      <c r="AE308" s="466"/>
    </row>
    <row r="309" spans="1:31" s="59" customFormat="1" ht="29.25" hidden="1" customHeight="1">
      <c r="A309" s="8"/>
      <c r="B309" s="11" t="str">
        <f>+IFERROR(VLOOKUP(C309,Listas!$L$8:$M$101,2,FALSE),"")</f>
        <v>10070101</v>
      </c>
      <c r="C309" s="334" t="s">
        <v>491</v>
      </c>
      <c r="D309" s="274"/>
      <c r="E309" s="275"/>
      <c r="F309" s="357"/>
      <c r="G309" s="461"/>
      <c r="H309" s="462" t="str">
        <f>+IF(I309=""," ",VLOOKUP(I309,Listas!$I$8:$J$10,2,FALSE))</f>
        <v>02</v>
      </c>
      <c r="I309" s="505" t="s">
        <v>464</v>
      </c>
      <c r="J309" s="464">
        <f>+IF(K309=""," ",VLOOKUP(K309,PUC!$B:$C,2,FALSE))</f>
        <v>6208022001</v>
      </c>
      <c r="K309" s="463" t="s">
        <v>801</v>
      </c>
      <c r="L309" s="465" t="str">
        <f>+IF(M309=""," ",VLOOKUP(M309,Listas!$F$9:$G$17,2,FALSE))</f>
        <v>09</v>
      </c>
      <c r="M309" s="483" t="s">
        <v>458</v>
      </c>
      <c r="N309" s="466">
        <f t="shared" si="4"/>
        <v>0</v>
      </c>
      <c r="O309" s="15"/>
      <c r="P309" s="16"/>
      <c r="Q309" s="16"/>
      <c r="R309" s="16"/>
      <c r="S309" s="16"/>
      <c r="T309" s="16"/>
      <c r="U309" s="16"/>
      <c r="V309" s="16"/>
      <c r="W309" s="16"/>
      <c r="X309" s="16"/>
      <c r="Y309" s="16"/>
      <c r="Z309" s="17"/>
      <c r="AE309" s="466"/>
    </row>
    <row r="310" spans="1:31" s="59" customFormat="1" ht="29.25" hidden="1" customHeight="1">
      <c r="A310" s="8"/>
      <c r="B310" s="11" t="str">
        <f>+IFERROR(VLOOKUP(C310,Listas!$L$8:$M$101,2,FALSE),"")</f>
        <v>10070101</v>
      </c>
      <c r="C310" s="334" t="s">
        <v>491</v>
      </c>
      <c r="D310" s="274"/>
      <c r="E310" s="275"/>
      <c r="F310" s="357"/>
      <c r="G310" s="461"/>
      <c r="H310" s="462" t="str">
        <f>+IF(I310=""," ",VLOOKUP(I310,Listas!$I$8:$J$10,2,FALSE))</f>
        <v>02</v>
      </c>
      <c r="I310" s="505" t="s">
        <v>464</v>
      </c>
      <c r="J310" s="464">
        <f>+IF(K310=""," ",VLOOKUP(K310,PUC!$B:$C,2,FALSE))</f>
        <v>6208021401</v>
      </c>
      <c r="K310" s="463" t="s">
        <v>868</v>
      </c>
      <c r="L310" s="465" t="str">
        <f>+IF(M310=""," ",VLOOKUP(M310,Listas!$F$9:$G$17,2,FALSE))</f>
        <v>09</v>
      </c>
      <c r="M310" s="483" t="s">
        <v>458</v>
      </c>
      <c r="N310" s="466">
        <f t="shared" si="4"/>
        <v>0</v>
      </c>
      <c r="O310" s="15"/>
      <c r="P310" s="16"/>
      <c r="Q310" s="16"/>
      <c r="R310" s="16"/>
      <c r="S310" s="16"/>
      <c r="T310" s="16"/>
      <c r="U310" s="16"/>
      <c r="V310" s="16"/>
      <c r="W310" s="16"/>
      <c r="X310" s="16"/>
      <c r="Y310" s="16"/>
      <c r="Z310" s="17"/>
      <c r="AE310" s="466"/>
    </row>
    <row r="311" spans="1:31" s="59" customFormat="1" ht="29.25" hidden="1" customHeight="1">
      <c r="A311" s="8"/>
      <c r="B311" s="11" t="str">
        <f>+IFERROR(VLOOKUP(C311,Listas!$L$8:$M$101,2,FALSE),"")</f>
        <v>10070101</v>
      </c>
      <c r="C311" s="334" t="s">
        <v>491</v>
      </c>
      <c r="D311" s="274"/>
      <c r="E311" s="275"/>
      <c r="F311" s="357"/>
      <c r="G311" s="461"/>
      <c r="H311" s="462" t="str">
        <f>+IF(I311=""," ",VLOOKUP(I311,Listas!$I$8:$J$10,2,FALSE))</f>
        <v>02</v>
      </c>
      <c r="I311" s="505" t="s">
        <v>464</v>
      </c>
      <c r="J311" s="464">
        <f>+IF(K311=""," ",VLOOKUP(K311,PUC!$B:$C,2,FALSE))</f>
        <v>6208020505</v>
      </c>
      <c r="K311" s="463" t="s">
        <v>804</v>
      </c>
      <c r="L311" s="465" t="str">
        <f>+IF(M311=""," ",VLOOKUP(M311,Listas!$F$9:$G$17,2,FALSE))</f>
        <v>09</v>
      </c>
      <c r="M311" s="483" t="s">
        <v>458</v>
      </c>
      <c r="N311" s="466">
        <f t="shared" si="4"/>
        <v>0</v>
      </c>
      <c r="O311" s="15"/>
      <c r="P311" s="16"/>
      <c r="Q311" s="16"/>
      <c r="R311" s="16"/>
      <c r="S311" s="16"/>
      <c r="T311" s="16"/>
      <c r="U311" s="16"/>
      <c r="V311" s="16"/>
      <c r="W311" s="16"/>
      <c r="X311" s="16"/>
      <c r="Y311" s="16"/>
      <c r="Z311" s="17"/>
      <c r="AE311" s="466"/>
    </row>
    <row r="312" spans="1:31" s="59" customFormat="1" ht="29.25" hidden="1" customHeight="1">
      <c r="A312" s="8"/>
      <c r="B312" s="11" t="str">
        <f>+IFERROR(VLOOKUP(C312,Listas!$L$8:$M$101,2,FALSE),"")</f>
        <v>10070101</v>
      </c>
      <c r="C312" s="334" t="s">
        <v>491</v>
      </c>
      <c r="D312" s="274"/>
      <c r="E312" s="275"/>
      <c r="F312" s="357"/>
      <c r="G312" s="461"/>
      <c r="H312" s="462" t="str">
        <f>+IF(I312=""," ",VLOOKUP(I312,Listas!$I$8:$J$10,2,FALSE))</f>
        <v>02</v>
      </c>
      <c r="I312" s="505" t="s">
        <v>464</v>
      </c>
      <c r="J312" s="464">
        <f>+IF(K312=""," ",VLOOKUP(K312,PUC!$B:$C,2,FALSE))</f>
        <v>6208022001</v>
      </c>
      <c r="K312" s="463" t="s">
        <v>801</v>
      </c>
      <c r="L312" s="465" t="str">
        <f>+IF(M312=""," ",VLOOKUP(M312,Listas!$F$9:$G$17,2,FALSE))</f>
        <v>09</v>
      </c>
      <c r="M312" s="483" t="s">
        <v>458</v>
      </c>
      <c r="N312" s="466">
        <f t="shared" si="4"/>
        <v>0</v>
      </c>
      <c r="O312" s="15"/>
      <c r="P312" s="16"/>
      <c r="Q312" s="16"/>
      <c r="R312" s="16"/>
      <c r="S312" s="16"/>
      <c r="T312" s="16"/>
      <c r="U312" s="16"/>
      <c r="V312" s="16"/>
      <c r="W312" s="16"/>
      <c r="X312" s="16"/>
      <c r="Y312" s="16"/>
      <c r="Z312" s="17"/>
      <c r="AE312" s="466"/>
    </row>
    <row r="313" spans="1:31" s="59" customFormat="1" ht="29.25" hidden="1" customHeight="1">
      <c r="A313" s="8"/>
      <c r="B313" s="11" t="str">
        <f>+IFERROR(VLOOKUP(C313,Listas!$L$8:$M$101,2,FALSE),"")</f>
        <v>10070101</v>
      </c>
      <c r="C313" s="334" t="s">
        <v>491</v>
      </c>
      <c r="D313" s="274"/>
      <c r="E313" s="275"/>
      <c r="F313" s="357"/>
      <c r="G313" s="461"/>
      <c r="H313" s="462" t="str">
        <f>+IF(I313=""," ",VLOOKUP(I313,Listas!$I$8:$J$10,2,FALSE))</f>
        <v>02</v>
      </c>
      <c r="I313" s="505" t="s">
        <v>464</v>
      </c>
      <c r="J313" s="464">
        <f>+IF(K313=""," ",VLOOKUP(K313,PUC!$B:$C,2,FALSE))</f>
        <v>6208021401</v>
      </c>
      <c r="K313" s="463" t="s">
        <v>868</v>
      </c>
      <c r="L313" s="465" t="str">
        <f>+IF(M313=""," ",VLOOKUP(M313,Listas!$F$9:$G$17,2,FALSE))</f>
        <v>09</v>
      </c>
      <c r="M313" s="483" t="s">
        <v>458</v>
      </c>
      <c r="N313" s="466">
        <f t="shared" si="4"/>
        <v>0</v>
      </c>
      <c r="O313" s="15"/>
      <c r="P313" s="16"/>
      <c r="Q313" s="16"/>
      <c r="R313" s="16"/>
      <c r="S313" s="16"/>
      <c r="T313" s="16"/>
      <c r="U313" s="16"/>
      <c r="V313" s="16"/>
      <c r="W313" s="16"/>
      <c r="X313" s="16"/>
      <c r="Y313" s="16"/>
      <c r="Z313" s="17"/>
      <c r="AE313" s="466"/>
    </row>
    <row r="314" spans="1:31" s="59" customFormat="1" ht="29.25" hidden="1" customHeight="1">
      <c r="A314" s="8"/>
      <c r="B314" s="11" t="str">
        <f>+IFERROR(VLOOKUP(C314,Listas!$L$8:$M$101,2,FALSE),"")</f>
        <v>10070101</v>
      </c>
      <c r="C314" s="334" t="s">
        <v>491</v>
      </c>
      <c r="D314" s="274"/>
      <c r="E314" s="275"/>
      <c r="F314" s="357"/>
      <c r="G314" s="385"/>
      <c r="H314" s="9" t="str">
        <f>+IF(I314=""," ",VLOOKUP(I314,Listas!$I$8:$J$10,2,FALSE))</f>
        <v xml:space="preserve"> </v>
      </c>
      <c r="I314" s="495"/>
      <c r="J314" s="356" t="str">
        <f>+IF(K314=""," ",VLOOKUP(K314,PUC!$B:$C,2,FALSE))</f>
        <v xml:space="preserve"> </v>
      </c>
      <c r="K314" s="334"/>
      <c r="L314" s="11" t="str">
        <f>+IF(M314=""," ",VLOOKUP(M314,Listas!$F$9:$G$17,2,FALSE))</f>
        <v>09</v>
      </c>
      <c r="M314" s="475" t="s">
        <v>458</v>
      </c>
      <c r="N314" s="345">
        <f t="shared" si="4"/>
        <v>0</v>
      </c>
      <c r="O314" s="15"/>
      <c r="P314" s="16"/>
      <c r="Q314" s="16"/>
      <c r="R314" s="16"/>
      <c r="S314" s="16"/>
      <c r="T314" s="16"/>
      <c r="U314" s="16"/>
      <c r="V314" s="16"/>
      <c r="W314" s="16"/>
      <c r="X314" s="16"/>
      <c r="Y314" s="16"/>
      <c r="Z314" s="17"/>
      <c r="AE314" s="345"/>
    </row>
    <row r="315" spans="1:31" s="59" customFormat="1" ht="29.25" hidden="1" customHeight="1">
      <c r="A315" s="8"/>
      <c r="B315" s="11" t="str">
        <f>+IFERROR(VLOOKUP(C315,Listas!$L$8:$M$101,2,FALSE),"")</f>
        <v>10070101</v>
      </c>
      <c r="C315" s="334" t="s">
        <v>491</v>
      </c>
      <c r="D315" s="274"/>
      <c r="E315" s="275"/>
      <c r="F315" s="357"/>
      <c r="G315" s="385"/>
      <c r="H315" s="9" t="str">
        <f>+IF(I315=""," ",VLOOKUP(I315,Listas!$I$8:$J$10,2,FALSE))</f>
        <v xml:space="preserve"> </v>
      </c>
      <c r="I315" s="495"/>
      <c r="J315" s="356" t="str">
        <f>+IF(K315=""," ",VLOOKUP(K315,PUC!$B:$C,2,FALSE))</f>
        <v xml:space="preserve"> </v>
      </c>
      <c r="K315" s="334"/>
      <c r="L315" s="11" t="str">
        <f>+IF(M315=""," ",VLOOKUP(M315,Listas!$F$9:$G$17,2,FALSE))</f>
        <v>09</v>
      </c>
      <c r="M315" s="475" t="s">
        <v>458</v>
      </c>
      <c r="N315" s="345">
        <f t="shared" si="4"/>
        <v>0</v>
      </c>
      <c r="O315" s="15"/>
      <c r="P315" s="16"/>
      <c r="Q315" s="16"/>
      <c r="R315" s="16"/>
      <c r="S315" s="16"/>
      <c r="T315" s="16"/>
      <c r="U315" s="16"/>
      <c r="V315" s="16"/>
      <c r="W315" s="16"/>
      <c r="X315" s="16"/>
      <c r="Y315" s="16"/>
      <c r="Z315" s="17"/>
      <c r="AE315" s="345"/>
    </row>
    <row r="316" spans="1:31" s="59" customFormat="1" ht="29.25" hidden="1" customHeight="1">
      <c r="A316" s="8"/>
      <c r="B316" s="11" t="str">
        <f>+IFERROR(VLOOKUP(C316,Listas!$L$8:$M$101,2,FALSE),"")</f>
        <v>10070101</v>
      </c>
      <c r="C316" s="334" t="s">
        <v>491</v>
      </c>
      <c r="D316" s="274"/>
      <c r="E316" s="275"/>
      <c r="F316" s="357"/>
      <c r="G316" s="385"/>
      <c r="H316" s="9" t="str">
        <f>+IF(I316=""," ",VLOOKUP(I316,Listas!$I$8:$J$10,2,FALSE))</f>
        <v xml:space="preserve"> </v>
      </c>
      <c r="I316" s="495"/>
      <c r="J316" s="356" t="str">
        <f>+IF(K316=""," ",VLOOKUP(K316,PUC!$B:$C,2,FALSE))</f>
        <v xml:space="preserve"> </v>
      </c>
      <c r="K316" s="334"/>
      <c r="L316" s="11" t="str">
        <f>+IF(M316=""," ",VLOOKUP(M316,Listas!$F$9:$G$17,2,FALSE))</f>
        <v>09</v>
      </c>
      <c r="M316" s="475" t="s">
        <v>458</v>
      </c>
      <c r="N316" s="345">
        <f t="shared" si="4"/>
        <v>0</v>
      </c>
      <c r="O316" s="15"/>
      <c r="P316" s="16"/>
      <c r="Q316" s="16"/>
      <c r="R316" s="16"/>
      <c r="S316" s="16"/>
      <c r="T316" s="16"/>
      <c r="U316" s="16"/>
      <c r="V316" s="16"/>
      <c r="W316" s="16"/>
      <c r="X316" s="16"/>
      <c r="Y316" s="16"/>
      <c r="Z316" s="17"/>
      <c r="AE316" s="345"/>
    </row>
    <row r="317" spans="1:31" s="59" customFormat="1" ht="29.25" hidden="1" customHeight="1">
      <c r="A317" s="8"/>
      <c r="B317" s="11" t="str">
        <f>+IFERROR(VLOOKUP(C317,Listas!$L$8:$M$101,2,FALSE),"")</f>
        <v>10070101</v>
      </c>
      <c r="C317" s="334" t="s">
        <v>491</v>
      </c>
      <c r="D317" s="274"/>
      <c r="E317" s="275"/>
      <c r="F317" s="357"/>
      <c r="G317" s="385"/>
      <c r="H317" s="9" t="str">
        <f>+IF(I317=""," ",VLOOKUP(I317,Listas!$I$8:$J$10,2,FALSE))</f>
        <v xml:space="preserve"> </v>
      </c>
      <c r="I317" s="495"/>
      <c r="J317" s="356" t="str">
        <f>+IF(K317=""," ",VLOOKUP(K317,PUC!$B:$C,2,FALSE))</f>
        <v xml:space="preserve"> </v>
      </c>
      <c r="K317" s="334"/>
      <c r="L317" s="11" t="str">
        <f>+IF(M317=""," ",VLOOKUP(M317,Listas!$F$9:$G$17,2,FALSE))</f>
        <v>09</v>
      </c>
      <c r="M317" s="475" t="s">
        <v>458</v>
      </c>
      <c r="N317" s="345">
        <f t="shared" si="4"/>
        <v>0</v>
      </c>
      <c r="O317" s="15"/>
      <c r="P317" s="16"/>
      <c r="Q317" s="16"/>
      <c r="R317" s="16"/>
      <c r="S317" s="16"/>
      <c r="T317" s="16"/>
      <c r="U317" s="16"/>
      <c r="V317" s="16"/>
      <c r="W317" s="16"/>
      <c r="X317" s="16"/>
      <c r="Y317" s="16"/>
      <c r="Z317" s="17"/>
      <c r="AE317" s="345"/>
    </row>
    <row r="318" spans="1:31" s="59" customFormat="1" ht="29.25" hidden="1" customHeight="1">
      <c r="A318" s="8"/>
      <c r="B318" s="11" t="str">
        <f>+IFERROR(VLOOKUP(C318,Listas!$L$8:$M$101,2,FALSE),"")</f>
        <v>10070101</v>
      </c>
      <c r="C318" s="334" t="s">
        <v>491</v>
      </c>
      <c r="D318" s="274"/>
      <c r="E318" s="275"/>
      <c r="F318" s="357"/>
      <c r="G318" s="385"/>
      <c r="H318" s="9" t="str">
        <f>+IF(I318=""," ",VLOOKUP(I318,Listas!$I$8:$J$10,2,FALSE))</f>
        <v xml:space="preserve"> </v>
      </c>
      <c r="I318" s="495"/>
      <c r="J318" s="356" t="str">
        <f>+IF(K318=""," ",VLOOKUP(K318,PUC!$B:$C,2,FALSE))</f>
        <v xml:space="preserve"> </v>
      </c>
      <c r="K318" s="334"/>
      <c r="L318" s="11" t="str">
        <f>+IF(M318=""," ",VLOOKUP(M318,Listas!$F$9:$G$17,2,FALSE))</f>
        <v>09</v>
      </c>
      <c r="M318" s="475" t="s">
        <v>458</v>
      </c>
      <c r="N318" s="345">
        <f t="shared" si="4"/>
        <v>0</v>
      </c>
      <c r="O318" s="15"/>
      <c r="P318" s="16"/>
      <c r="Q318" s="16"/>
      <c r="R318" s="16"/>
      <c r="S318" s="16"/>
      <c r="T318" s="16"/>
      <c r="U318" s="16"/>
      <c r="V318" s="16"/>
      <c r="W318" s="16"/>
      <c r="X318" s="16"/>
      <c r="Y318" s="16"/>
      <c r="Z318" s="17"/>
      <c r="AE318" s="345"/>
    </row>
    <row r="319" spans="1:31" s="59" customFormat="1" ht="29.25" hidden="1" customHeight="1">
      <c r="A319" s="8"/>
      <c r="B319" s="11" t="str">
        <f>+IFERROR(VLOOKUP(C319,Listas!$L$8:$M$101,2,FALSE),"")</f>
        <v>10070101</v>
      </c>
      <c r="C319" s="334" t="s">
        <v>491</v>
      </c>
      <c r="D319" s="274"/>
      <c r="E319" s="275"/>
      <c r="F319" s="357"/>
      <c r="G319" s="385"/>
      <c r="H319" s="9" t="str">
        <f>+IF(I319=""," ",VLOOKUP(I319,Listas!$I$8:$J$10,2,FALSE))</f>
        <v xml:space="preserve"> </v>
      </c>
      <c r="I319" s="495"/>
      <c r="J319" s="356" t="str">
        <f>+IF(K319=""," ",VLOOKUP(K319,PUC!$B:$C,2,FALSE))</f>
        <v xml:space="preserve"> </v>
      </c>
      <c r="K319" s="334"/>
      <c r="L319" s="11" t="str">
        <f>+IF(M319=""," ",VLOOKUP(M319,Listas!$F$9:$G$17,2,FALSE))</f>
        <v>09</v>
      </c>
      <c r="M319" s="475" t="s">
        <v>458</v>
      </c>
      <c r="N319" s="345">
        <f t="shared" si="4"/>
        <v>0</v>
      </c>
      <c r="O319" s="15"/>
      <c r="P319" s="16"/>
      <c r="Q319" s="16"/>
      <c r="R319" s="16"/>
      <c r="S319" s="16"/>
      <c r="T319" s="16"/>
      <c r="U319" s="16"/>
      <c r="V319" s="16"/>
      <c r="W319" s="16"/>
      <c r="X319" s="16"/>
      <c r="Y319" s="16"/>
      <c r="Z319" s="17"/>
      <c r="AE319" s="345"/>
    </row>
    <row r="320" spans="1:31" s="59" customFormat="1" ht="29.25" hidden="1" customHeight="1" thickBot="1">
      <c r="A320" s="8"/>
      <c r="B320" s="22" t="str">
        <f>+IFERROR(VLOOKUP(C320,Listas!$L$8:$M$101,2,FALSE),"")</f>
        <v>10070101</v>
      </c>
      <c r="C320" s="340" t="s">
        <v>491</v>
      </c>
      <c r="D320" s="278"/>
      <c r="E320" s="279"/>
      <c r="F320" s="384"/>
      <c r="G320" s="406"/>
      <c r="H320" s="21" t="str">
        <f>+IF(I320=""," ",VLOOKUP(I320,Listas!$I$8:$J$10,2,FALSE))</f>
        <v xml:space="preserve"> </v>
      </c>
      <c r="I320" s="496"/>
      <c r="J320" s="363" t="str">
        <f>+IF(K320=""," ",VLOOKUP(K320,PUC!$B:$C,2,FALSE))</f>
        <v xml:space="preserve"> </v>
      </c>
      <c r="K320" s="340"/>
      <c r="L320" s="22" t="str">
        <f>+IF(M320=""," ",VLOOKUP(M320,Listas!$F$9:$G$17,2,FALSE))</f>
        <v>09</v>
      </c>
      <c r="M320" s="476" t="s">
        <v>458</v>
      </c>
      <c r="N320" s="347">
        <f t="shared" si="4"/>
        <v>0</v>
      </c>
      <c r="O320" s="23"/>
      <c r="P320" s="24"/>
      <c r="Q320" s="24"/>
      <c r="R320" s="24"/>
      <c r="S320" s="24"/>
      <c r="T320" s="24"/>
      <c r="U320" s="24"/>
      <c r="V320" s="24"/>
      <c r="W320" s="24"/>
      <c r="X320" s="24"/>
      <c r="Y320" s="24"/>
      <c r="Z320" s="25"/>
      <c r="AE320" s="347"/>
    </row>
    <row r="321" spans="1:31" s="59" customFormat="1" ht="25.5">
      <c r="A321" s="8"/>
      <c r="B321" s="20" t="str">
        <f>+IFERROR(VLOOKUP(C321,Listas!$L$8:$M$101,2,FALSE),"")</f>
        <v>10070102</v>
      </c>
      <c r="C321" s="339" t="s">
        <v>492</v>
      </c>
      <c r="D321" s="276"/>
      <c r="E321" s="277"/>
      <c r="F321" s="630" t="s">
        <v>1194</v>
      </c>
      <c r="G321" s="386" t="s">
        <v>1197</v>
      </c>
      <c r="H321" s="18" t="str">
        <f>+IF(I321=""," ",VLOOKUP(I321,Listas!$I$8:$J$10,2,FALSE))</f>
        <v xml:space="preserve"> </v>
      </c>
      <c r="I321" s="497"/>
      <c r="J321" s="362" t="str">
        <f>+IF(K321=""," ",VLOOKUP(K321,PUC!$B:$C,2,FALSE))</f>
        <v xml:space="preserve"> </v>
      </c>
      <c r="K321" s="339"/>
      <c r="L321" s="20" t="str">
        <f>+IF(M321=""," ",VLOOKUP(M321,Listas!$F$9:$G$17,2,FALSE))</f>
        <v xml:space="preserve"> </v>
      </c>
      <c r="M321" s="477"/>
      <c r="N321" s="346">
        <f t="shared" si="4"/>
        <v>0</v>
      </c>
      <c r="O321" s="12"/>
      <c r="P321" s="13"/>
      <c r="Q321" s="13"/>
      <c r="R321" s="13"/>
      <c r="S321" s="13"/>
      <c r="T321" s="13"/>
      <c r="U321" s="13"/>
      <c r="V321" s="13"/>
      <c r="W321" s="13"/>
      <c r="X321" s="13"/>
      <c r="Y321" s="13"/>
      <c r="Z321" s="14"/>
      <c r="AE321" s="346"/>
    </row>
    <row r="322" spans="1:31" s="59" customFormat="1" ht="18">
      <c r="A322" s="8"/>
      <c r="B322" s="11" t="str">
        <f>+IFERROR(VLOOKUP(C322,Listas!$L$8:$M$101,2,FALSE),"")</f>
        <v>10070102</v>
      </c>
      <c r="C322" s="334" t="s">
        <v>492</v>
      </c>
      <c r="D322" s="274"/>
      <c r="E322" s="275"/>
      <c r="F322" s="628"/>
      <c r="G322" s="385" t="s">
        <v>1198</v>
      </c>
      <c r="H322" s="9" t="str">
        <f>+IF(I322=""," ",VLOOKUP(I322,Listas!$I$8:$J$10,2,FALSE))</f>
        <v xml:space="preserve"> </v>
      </c>
      <c r="I322" s="495"/>
      <c r="J322" s="356" t="str">
        <f>+IF(K322=""," ",VLOOKUP(K322,PUC!$B:$C,2,FALSE))</f>
        <v xml:space="preserve"> </v>
      </c>
      <c r="K322" s="334"/>
      <c r="L322" s="11" t="str">
        <f>+IF(M322=""," ",VLOOKUP(M322,Listas!$F$9:$G$17,2,FALSE))</f>
        <v xml:space="preserve"> </v>
      </c>
      <c r="M322" s="475"/>
      <c r="N322" s="345">
        <f t="shared" si="4"/>
        <v>0</v>
      </c>
      <c r="O322" s="15"/>
      <c r="P322" s="16"/>
      <c r="Q322" s="16"/>
      <c r="R322" s="16"/>
      <c r="S322" s="16"/>
      <c r="T322" s="16"/>
      <c r="U322" s="16"/>
      <c r="V322" s="16"/>
      <c r="W322" s="16"/>
      <c r="X322" s="16"/>
      <c r="Y322" s="16"/>
      <c r="Z322" s="17"/>
      <c r="AE322" s="345"/>
    </row>
    <row r="323" spans="1:31" s="59" customFormat="1" ht="38.25">
      <c r="A323" s="8"/>
      <c r="B323" s="11" t="str">
        <f>+IFERROR(VLOOKUP(C323,Listas!$L$8:$M$101,2,FALSE),"")</f>
        <v>10070102</v>
      </c>
      <c r="C323" s="334" t="s">
        <v>492</v>
      </c>
      <c r="D323" s="274"/>
      <c r="E323" s="275"/>
      <c r="F323" s="628"/>
      <c r="G323" s="385" t="s">
        <v>1353</v>
      </c>
      <c r="H323" s="9" t="str">
        <f>+IF(I323=""," ",VLOOKUP(I323,Listas!$I$8:$J$10,2,FALSE))</f>
        <v xml:space="preserve"> </v>
      </c>
      <c r="I323" s="495"/>
      <c r="J323" s="356" t="str">
        <f>+IF(K323=""," ",VLOOKUP(K323,PUC!$B:$C,2,FALSE))</f>
        <v xml:space="preserve"> </v>
      </c>
      <c r="K323" s="334"/>
      <c r="L323" s="11" t="str">
        <f>+IF(M323=""," ",VLOOKUP(M323,Listas!$F$9:$G$17,2,FALSE))</f>
        <v xml:space="preserve"> </v>
      </c>
      <c r="M323" s="475"/>
      <c r="N323" s="345">
        <f t="shared" si="4"/>
        <v>0</v>
      </c>
      <c r="O323" s="15"/>
      <c r="P323" s="16"/>
      <c r="Q323" s="16"/>
      <c r="R323" s="16"/>
      <c r="S323" s="16"/>
      <c r="T323" s="16"/>
      <c r="U323" s="16"/>
      <c r="V323" s="16"/>
      <c r="W323" s="16"/>
      <c r="X323" s="16"/>
      <c r="Y323" s="16"/>
      <c r="Z323" s="17"/>
      <c r="AE323" s="345"/>
    </row>
    <row r="324" spans="1:31" s="59" customFormat="1" ht="18">
      <c r="A324" s="8"/>
      <c r="B324" s="11" t="str">
        <f>+IFERROR(VLOOKUP(C324,Listas!$L$8:$M$101,2,FALSE),"")</f>
        <v>10070102</v>
      </c>
      <c r="C324" s="334" t="s">
        <v>492</v>
      </c>
      <c r="D324" s="274"/>
      <c r="E324" s="275"/>
      <c r="F324" s="629"/>
      <c r="G324" s="385" t="s">
        <v>1199</v>
      </c>
      <c r="H324" s="9" t="str">
        <f>+IF(I324=""," ",VLOOKUP(I324,Listas!$I$8:$J$10,2,FALSE))</f>
        <v xml:space="preserve"> </v>
      </c>
      <c r="I324" s="495"/>
      <c r="J324" s="356" t="str">
        <f>+IF(K324=""," ",VLOOKUP(K324,PUC!$B:$C,2,FALSE))</f>
        <v xml:space="preserve"> </v>
      </c>
      <c r="K324" s="334"/>
      <c r="L324" s="11" t="str">
        <f>+IF(M324=""," ",VLOOKUP(M324,Listas!$F$9:$G$17,2,FALSE))</f>
        <v xml:space="preserve"> </v>
      </c>
      <c r="M324" s="475"/>
      <c r="N324" s="345">
        <f t="shared" si="4"/>
        <v>0</v>
      </c>
      <c r="O324" s="15"/>
      <c r="P324" s="16"/>
      <c r="Q324" s="16"/>
      <c r="R324" s="16"/>
      <c r="S324" s="16"/>
      <c r="T324" s="16"/>
      <c r="U324" s="16"/>
      <c r="V324" s="16"/>
      <c r="W324" s="16"/>
      <c r="X324" s="16"/>
      <c r="Y324" s="16"/>
      <c r="Z324" s="17"/>
      <c r="AE324" s="345"/>
    </row>
    <row r="325" spans="1:31" s="59" customFormat="1" ht="39" thickBot="1">
      <c r="A325" s="8"/>
      <c r="B325" s="11" t="str">
        <f>+IFERROR(VLOOKUP(C325,Listas!$L$8:$M$101,2,FALSE),"")</f>
        <v>10070102</v>
      </c>
      <c r="C325" s="334" t="s">
        <v>492</v>
      </c>
      <c r="D325" s="274"/>
      <c r="E325" s="275"/>
      <c r="F325" s="357" t="s">
        <v>1195</v>
      </c>
      <c r="G325" s="385" t="s">
        <v>1196</v>
      </c>
      <c r="H325" s="9" t="str">
        <f>+IF(I325=""," ",VLOOKUP(I325,Listas!$I$8:$J$10,2,FALSE))</f>
        <v xml:space="preserve"> </v>
      </c>
      <c r="I325" s="495"/>
      <c r="J325" s="356" t="str">
        <f>+IF(K325=""," ",VLOOKUP(K325,PUC!$B:$C,2,FALSE))</f>
        <v xml:space="preserve"> </v>
      </c>
      <c r="K325" s="334"/>
      <c r="L325" s="11" t="str">
        <f>+IF(M325=""," ",VLOOKUP(M325,Listas!$F$9:$G$17,2,FALSE))</f>
        <v xml:space="preserve"> </v>
      </c>
      <c r="M325" s="475"/>
      <c r="N325" s="345">
        <f t="shared" si="4"/>
        <v>0</v>
      </c>
      <c r="O325" s="15"/>
      <c r="P325" s="16"/>
      <c r="Q325" s="16"/>
      <c r="R325" s="16"/>
      <c r="S325" s="16"/>
      <c r="T325" s="16"/>
      <c r="U325" s="16"/>
      <c r="V325" s="16"/>
      <c r="W325" s="16"/>
      <c r="X325" s="16"/>
      <c r="Y325" s="16"/>
      <c r="Z325" s="17"/>
      <c r="AE325" s="345"/>
    </row>
    <row r="326" spans="1:31" s="59" customFormat="1" ht="29.25" hidden="1" customHeight="1">
      <c r="A326" s="8"/>
      <c r="B326" s="11" t="str">
        <f>+IFERROR(VLOOKUP(C326,Listas!$L$8:$M$101,2,FALSE),"")</f>
        <v>10070102</v>
      </c>
      <c r="C326" s="334" t="s">
        <v>492</v>
      </c>
      <c r="D326" s="274"/>
      <c r="E326" s="275"/>
      <c r="F326" s="357"/>
      <c r="G326" s="385"/>
      <c r="H326" s="9" t="str">
        <f>+IF(I326=""," ",VLOOKUP(I326,Listas!$I$8:$J$10,2,FALSE))</f>
        <v xml:space="preserve"> </v>
      </c>
      <c r="I326" s="495"/>
      <c r="J326" s="356" t="str">
        <f>+IF(K326=""," ",VLOOKUP(K326,PUC!$B:$C,2,FALSE))</f>
        <v xml:space="preserve"> </v>
      </c>
      <c r="K326" s="334"/>
      <c r="L326" s="11" t="str">
        <f>+IF(M326=""," ",VLOOKUP(M326,Listas!$F$9:$G$17,2,FALSE))</f>
        <v xml:space="preserve"> </v>
      </c>
      <c r="M326" s="475"/>
      <c r="N326" s="345">
        <f t="shared" si="4"/>
        <v>0</v>
      </c>
      <c r="O326" s="15"/>
      <c r="P326" s="16"/>
      <c r="Q326" s="16"/>
      <c r="R326" s="16"/>
      <c r="S326" s="16"/>
      <c r="T326" s="16"/>
      <c r="U326" s="16"/>
      <c r="V326" s="16"/>
      <c r="W326" s="16"/>
      <c r="X326" s="16"/>
      <c r="Y326" s="16"/>
      <c r="Z326" s="17"/>
      <c r="AE326" s="345"/>
    </row>
    <row r="327" spans="1:31" s="59" customFormat="1" ht="29.25" hidden="1" customHeight="1">
      <c r="A327" s="8"/>
      <c r="B327" s="11" t="str">
        <f>+IFERROR(VLOOKUP(C327,Listas!$L$8:$M$101,2,FALSE),"")</f>
        <v>10070102</v>
      </c>
      <c r="C327" s="334" t="s">
        <v>492</v>
      </c>
      <c r="D327" s="274"/>
      <c r="E327" s="275"/>
      <c r="F327" s="357"/>
      <c r="G327" s="385"/>
      <c r="H327" s="9" t="str">
        <f>+IF(I327=""," ",VLOOKUP(I327,Listas!$I$8:$J$10,2,FALSE))</f>
        <v xml:space="preserve"> </v>
      </c>
      <c r="I327" s="495"/>
      <c r="J327" s="356" t="str">
        <f>+IF(K327=""," ",VLOOKUP(K327,PUC!$B:$C,2,FALSE))</f>
        <v xml:space="preserve"> </v>
      </c>
      <c r="K327" s="334"/>
      <c r="L327" s="11" t="str">
        <f>+IF(M327=""," ",VLOOKUP(M327,Listas!$F$9:$G$17,2,FALSE))</f>
        <v xml:space="preserve"> </v>
      </c>
      <c r="M327" s="475"/>
      <c r="N327" s="345">
        <f t="shared" si="4"/>
        <v>0</v>
      </c>
      <c r="O327" s="15"/>
      <c r="P327" s="16"/>
      <c r="Q327" s="16"/>
      <c r="R327" s="16"/>
      <c r="S327" s="16"/>
      <c r="T327" s="16"/>
      <c r="U327" s="16"/>
      <c r="V327" s="16"/>
      <c r="W327" s="16"/>
      <c r="X327" s="16"/>
      <c r="Y327" s="16"/>
      <c r="Z327" s="17"/>
      <c r="AE327" s="345"/>
    </row>
    <row r="328" spans="1:31" s="59" customFormat="1" ht="29.25" hidden="1" customHeight="1">
      <c r="A328" s="8"/>
      <c r="B328" s="11" t="str">
        <f>+IFERROR(VLOOKUP(C328,Listas!$L$8:$M$101,2,FALSE),"")</f>
        <v>10070102</v>
      </c>
      <c r="C328" s="334" t="s">
        <v>492</v>
      </c>
      <c r="D328" s="274"/>
      <c r="E328" s="275"/>
      <c r="F328" s="357"/>
      <c r="G328" s="385"/>
      <c r="H328" s="9" t="str">
        <f>+IF(I328=""," ",VLOOKUP(I328,Listas!$I$8:$J$10,2,FALSE))</f>
        <v xml:space="preserve"> </v>
      </c>
      <c r="I328" s="495"/>
      <c r="J328" s="356" t="str">
        <f>+IF(K328=""," ",VLOOKUP(K328,PUC!$B:$C,2,FALSE))</f>
        <v xml:space="preserve"> </v>
      </c>
      <c r="K328" s="334"/>
      <c r="L328" s="11" t="str">
        <f>+IF(M328=""," ",VLOOKUP(M328,Listas!$F$9:$G$17,2,FALSE))</f>
        <v xml:space="preserve"> </v>
      </c>
      <c r="M328" s="475"/>
      <c r="N328" s="345">
        <f t="shared" si="4"/>
        <v>0</v>
      </c>
      <c r="O328" s="15"/>
      <c r="P328" s="16"/>
      <c r="Q328" s="16"/>
      <c r="R328" s="16"/>
      <c r="S328" s="16"/>
      <c r="T328" s="16"/>
      <c r="U328" s="16"/>
      <c r="V328" s="16"/>
      <c r="W328" s="16"/>
      <c r="X328" s="16"/>
      <c r="Y328" s="16"/>
      <c r="Z328" s="17"/>
      <c r="AE328" s="345"/>
    </row>
    <row r="329" spans="1:31" s="59" customFormat="1" ht="29.25" hidden="1" customHeight="1">
      <c r="A329" s="8"/>
      <c r="B329" s="11" t="str">
        <f>+IFERROR(VLOOKUP(C329,Listas!$L$8:$M$101,2,FALSE),"")</f>
        <v>10070102</v>
      </c>
      <c r="C329" s="334" t="s">
        <v>492</v>
      </c>
      <c r="D329" s="274"/>
      <c r="E329" s="275"/>
      <c r="F329" s="357"/>
      <c r="G329" s="385"/>
      <c r="H329" s="9" t="str">
        <f>+IF(I329=""," ",VLOOKUP(I329,Listas!$I$8:$J$10,2,FALSE))</f>
        <v xml:space="preserve"> </v>
      </c>
      <c r="I329" s="495"/>
      <c r="J329" s="356" t="str">
        <f>+IF(K329=""," ",VLOOKUP(K329,PUC!$B:$C,2,FALSE))</f>
        <v xml:space="preserve"> </v>
      </c>
      <c r="K329" s="334"/>
      <c r="L329" s="11" t="str">
        <f>+IF(M329=""," ",VLOOKUP(M329,Listas!$F$9:$G$17,2,FALSE))</f>
        <v xml:space="preserve"> </v>
      </c>
      <c r="M329" s="475"/>
      <c r="N329" s="345">
        <f t="shared" si="4"/>
        <v>0</v>
      </c>
      <c r="O329" s="15"/>
      <c r="P329" s="16"/>
      <c r="Q329" s="16"/>
      <c r="R329" s="16"/>
      <c r="S329" s="16"/>
      <c r="T329" s="16"/>
      <c r="U329" s="16"/>
      <c r="V329" s="16"/>
      <c r="W329" s="16"/>
      <c r="X329" s="16"/>
      <c r="Y329" s="16"/>
      <c r="Z329" s="17"/>
      <c r="AE329" s="345"/>
    </row>
    <row r="330" spans="1:31" s="59" customFormat="1" ht="29.25" hidden="1" customHeight="1" thickBot="1">
      <c r="A330" s="8"/>
      <c r="B330" s="22" t="str">
        <f>+IFERROR(VLOOKUP(C330,Listas!$L$8:$M$101,2,FALSE),"")</f>
        <v>10070102</v>
      </c>
      <c r="C330" s="340" t="s">
        <v>492</v>
      </c>
      <c r="D330" s="278"/>
      <c r="E330" s="279"/>
      <c r="F330" s="384"/>
      <c r="G330" s="406"/>
      <c r="H330" s="21" t="str">
        <f>+IF(I330=""," ",VLOOKUP(I330,Listas!$I$8:$J$10,2,FALSE))</f>
        <v xml:space="preserve"> </v>
      </c>
      <c r="I330" s="496"/>
      <c r="J330" s="363" t="str">
        <f>+IF(K330=""," ",VLOOKUP(K330,PUC!$B:$C,2,FALSE))</f>
        <v xml:space="preserve"> </v>
      </c>
      <c r="K330" s="340"/>
      <c r="L330" s="22" t="str">
        <f>+IF(M330=""," ",VLOOKUP(M330,Listas!$F$9:$G$17,2,FALSE))</f>
        <v xml:space="preserve"> </v>
      </c>
      <c r="M330" s="476"/>
      <c r="N330" s="347">
        <f t="shared" si="4"/>
        <v>0</v>
      </c>
      <c r="O330" s="23"/>
      <c r="P330" s="24"/>
      <c r="Q330" s="24"/>
      <c r="R330" s="24"/>
      <c r="S330" s="24"/>
      <c r="T330" s="24"/>
      <c r="U330" s="24"/>
      <c r="V330" s="24"/>
      <c r="W330" s="24"/>
      <c r="X330" s="24"/>
      <c r="Y330" s="24"/>
      <c r="Z330" s="25"/>
      <c r="AE330" s="347"/>
    </row>
    <row r="331" spans="1:31" s="59" customFormat="1" ht="38.25">
      <c r="A331" s="8"/>
      <c r="B331" s="20" t="str">
        <f>+IFERROR(VLOOKUP(C331,Listas!$L$8:$M$101,2,FALSE),"")</f>
        <v>10070103</v>
      </c>
      <c r="C331" s="339" t="s">
        <v>493</v>
      </c>
      <c r="D331" s="276"/>
      <c r="E331" s="277"/>
      <c r="F331" s="630" t="s">
        <v>1200</v>
      </c>
      <c r="G331" s="386" t="s">
        <v>1201</v>
      </c>
      <c r="H331" s="18" t="str">
        <f>+IF(I331=""," ",VLOOKUP(I331,Listas!$I$8:$J$10,2,FALSE))</f>
        <v xml:space="preserve"> </v>
      </c>
      <c r="I331" s="497"/>
      <c r="J331" s="362" t="str">
        <f>+IF(K331=""," ",VLOOKUP(K331,PUC!$B:$C,2,FALSE))</f>
        <v xml:space="preserve"> </v>
      </c>
      <c r="K331" s="339"/>
      <c r="L331" s="20" t="str">
        <f>+IF(M331=""," ",VLOOKUP(M331,Listas!$F$9:$G$17,2,FALSE))</f>
        <v>08</v>
      </c>
      <c r="M331" s="477" t="s">
        <v>456</v>
      </c>
      <c r="N331" s="346">
        <f t="shared" si="4"/>
        <v>0</v>
      </c>
      <c r="O331" s="12"/>
      <c r="P331" s="13"/>
      <c r="Q331" s="13"/>
      <c r="R331" s="13"/>
      <c r="S331" s="13"/>
      <c r="T331" s="13"/>
      <c r="U331" s="13"/>
      <c r="V331" s="13"/>
      <c r="W331" s="13"/>
      <c r="X331" s="13"/>
      <c r="Y331" s="13"/>
      <c r="Z331" s="14"/>
      <c r="AE331" s="346"/>
    </row>
    <row r="332" spans="1:31" s="59" customFormat="1" ht="29.25" customHeight="1">
      <c r="A332" s="8"/>
      <c r="B332" s="11" t="str">
        <f>+IFERROR(VLOOKUP(C332,Listas!$L$8:$M$101,2,FALSE),"")</f>
        <v>10070103</v>
      </c>
      <c r="C332" s="342" t="s">
        <v>493</v>
      </c>
      <c r="D332" s="274"/>
      <c r="E332" s="275"/>
      <c r="F332" s="628"/>
      <c r="G332" s="385" t="s">
        <v>1202</v>
      </c>
      <c r="H332" s="9" t="str">
        <f>+IF(I332=""," ",VLOOKUP(I332,Listas!$I$8:$J$10,2,FALSE))</f>
        <v>02</v>
      </c>
      <c r="I332" s="495" t="s">
        <v>464</v>
      </c>
      <c r="J332" s="356">
        <f>+IF(K332=""," ",VLOOKUP(K332,PUC!$B:$C,2,FALSE))</f>
        <v>6208021401</v>
      </c>
      <c r="K332" s="334" t="s">
        <v>868</v>
      </c>
      <c r="L332" s="11" t="str">
        <f>+IF(M332=""," ",VLOOKUP(M332,Listas!$F$9:$G$17,2,FALSE))</f>
        <v>08</v>
      </c>
      <c r="M332" s="475" t="s">
        <v>456</v>
      </c>
      <c r="N332" s="345">
        <f t="shared" si="4"/>
        <v>1200000</v>
      </c>
      <c r="O332" s="15"/>
      <c r="P332" s="16"/>
      <c r="Q332" s="16"/>
      <c r="R332" s="16"/>
      <c r="S332" s="16"/>
      <c r="T332" s="16"/>
      <c r="U332" s="16"/>
      <c r="V332" s="16"/>
      <c r="W332" s="16"/>
      <c r="X332" s="16"/>
      <c r="Y332" s="16"/>
      <c r="Z332" s="17"/>
      <c r="AE332" s="345">
        <v>6000000</v>
      </c>
    </row>
    <row r="333" spans="1:31" s="59" customFormat="1" ht="63.75">
      <c r="A333" s="8"/>
      <c r="B333" s="11" t="str">
        <f>+IFERROR(VLOOKUP(C333,Listas!$L$8:$M$101,2,FALSE),"")</f>
        <v>10070103</v>
      </c>
      <c r="C333" s="342" t="s">
        <v>493</v>
      </c>
      <c r="D333" s="274"/>
      <c r="E333" s="275"/>
      <c r="F333" s="629"/>
      <c r="G333" s="385" t="s">
        <v>1203</v>
      </c>
      <c r="H333" s="9" t="str">
        <f>+IF(I333=""," ",VLOOKUP(I333,Listas!$I$8:$J$10,2,FALSE))</f>
        <v xml:space="preserve"> </v>
      </c>
      <c r="I333" s="495"/>
      <c r="J333" s="356" t="str">
        <f>+IF(K333=""," ",VLOOKUP(K333,PUC!$B:$C,2,FALSE))</f>
        <v xml:space="preserve"> </v>
      </c>
      <c r="K333" s="334"/>
      <c r="L333" s="11" t="str">
        <f>+IF(M333=""," ",VLOOKUP(M333,Listas!$F$9:$G$17,2,FALSE))</f>
        <v>08</v>
      </c>
      <c r="M333" s="475" t="s">
        <v>456</v>
      </c>
      <c r="N333" s="345">
        <f t="shared" si="4"/>
        <v>0</v>
      </c>
      <c r="O333" s="15"/>
      <c r="P333" s="16"/>
      <c r="Q333" s="16"/>
      <c r="R333" s="16"/>
      <c r="S333" s="16"/>
      <c r="T333" s="16"/>
      <c r="U333" s="16"/>
      <c r="V333" s="16"/>
      <c r="W333" s="16"/>
      <c r="X333" s="16"/>
      <c r="Y333" s="16"/>
      <c r="Z333" s="17"/>
      <c r="AE333" s="345"/>
    </row>
    <row r="334" spans="1:31" s="59" customFormat="1" ht="38.25">
      <c r="A334" s="8"/>
      <c r="B334" s="11" t="str">
        <f>+IFERROR(VLOOKUP(C334,Listas!$L$8:$M$101,2,FALSE),"")</f>
        <v>10070103</v>
      </c>
      <c r="C334" s="342" t="s">
        <v>493</v>
      </c>
      <c r="D334" s="274"/>
      <c r="E334" s="275"/>
      <c r="F334" s="627" t="s">
        <v>1204</v>
      </c>
      <c r="G334" s="385" t="s">
        <v>1205</v>
      </c>
      <c r="H334" s="9" t="str">
        <f>+IF(I334=""," ",VLOOKUP(I334,Listas!$I$8:$J$10,2,FALSE))</f>
        <v xml:space="preserve"> </v>
      </c>
      <c r="I334" s="495"/>
      <c r="J334" s="356" t="str">
        <f>+IF(K334=""," ",VLOOKUP(K334,PUC!$B:$C,2,FALSE))</f>
        <v xml:space="preserve"> </v>
      </c>
      <c r="K334" s="334"/>
      <c r="L334" s="11" t="str">
        <f>+IF(M334=""," ",VLOOKUP(M334,Listas!$F$9:$G$17,2,FALSE))</f>
        <v>08</v>
      </c>
      <c r="M334" s="475" t="s">
        <v>456</v>
      </c>
      <c r="N334" s="345">
        <f t="shared" si="4"/>
        <v>0</v>
      </c>
      <c r="O334" s="15"/>
      <c r="P334" s="16"/>
      <c r="Q334" s="16"/>
      <c r="R334" s="16"/>
      <c r="S334" s="16"/>
      <c r="T334" s="16"/>
      <c r="U334" s="16"/>
      <c r="V334" s="16"/>
      <c r="W334" s="16"/>
      <c r="X334" s="16"/>
      <c r="Y334" s="16"/>
      <c r="Z334" s="17"/>
      <c r="AE334" s="345"/>
    </row>
    <row r="335" spans="1:31" s="59" customFormat="1" ht="25.5">
      <c r="A335" s="8"/>
      <c r="B335" s="11" t="str">
        <f>+IFERROR(VLOOKUP(C335,Listas!$L$8:$M$101,2,FALSE),"")</f>
        <v>10070103</v>
      </c>
      <c r="C335" s="342" t="s">
        <v>493</v>
      </c>
      <c r="D335" s="274"/>
      <c r="E335" s="275"/>
      <c r="F335" s="628"/>
      <c r="G335" s="385" t="s">
        <v>1206</v>
      </c>
      <c r="H335" s="9" t="str">
        <f>+IF(I335=""," ",VLOOKUP(I335,Listas!$I$8:$J$10,2,FALSE))</f>
        <v xml:space="preserve"> </v>
      </c>
      <c r="I335" s="495"/>
      <c r="J335" s="356" t="str">
        <f>+IF(K335=""," ",VLOOKUP(K335,PUC!$B:$C,2,FALSE))</f>
        <v xml:space="preserve"> </v>
      </c>
      <c r="K335" s="334"/>
      <c r="L335" s="11" t="str">
        <f>+IF(M335=""," ",VLOOKUP(M335,Listas!$F$9:$G$17,2,FALSE))</f>
        <v>08</v>
      </c>
      <c r="M335" s="475" t="s">
        <v>456</v>
      </c>
      <c r="N335" s="345">
        <f t="shared" ref="N335:N397" si="5">+IFERROR((MROUND(AE335*$AD$12,1000)),"")</f>
        <v>0</v>
      </c>
      <c r="O335" s="15"/>
      <c r="P335" s="16"/>
      <c r="Q335" s="16"/>
      <c r="R335" s="16"/>
      <c r="S335" s="16"/>
      <c r="T335" s="16"/>
      <c r="U335" s="16"/>
      <c r="V335" s="16"/>
      <c r="W335" s="16"/>
      <c r="X335" s="16"/>
      <c r="Y335" s="16"/>
      <c r="Z335" s="17"/>
      <c r="AE335" s="345"/>
    </row>
    <row r="336" spans="1:31" s="59" customFormat="1" ht="38.25">
      <c r="A336" s="8"/>
      <c r="B336" s="11" t="str">
        <f>+IFERROR(VLOOKUP(C336,Listas!$L$8:$M$101,2,FALSE),"")</f>
        <v>10070103</v>
      </c>
      <c r="C336" s="342" t="s">
        <v>493</v>
      </c>
      <c r="D336" s="274"/>
      <c r="E336" s="275"/>
      <c r="F336" s="628"/>
      <c r="G336" s="385" t="s">
        <v>1177</v>
      </c>
      <c r="H336" s="9" t="str">
        <f>+IF(I336=""," ",VLOOKUP(I336,Listas!$I$8:$J$10,2,FALSE))</f>
        <v>04</v>
      </c>
      <c r="I336" s="495" t="s">
        <v>466</v>
      </c>
      <c r="J336" s="356">
        <f>+IF(K336=""," ",VLOOKUP(K336,PUC!$B:$C,2,FALSE))</f>
        <v>6208022101</v>
      </c>
      <c r="K336" s="334" t="s">
        <v>976</v>
      </c>
      <c r="L336" s="11" t="str">
        <f>+IF(M336=""," ",VLOOKUP(M336,Listas!$F$9:$G$17,2,FALSE))</f>
        <v>08</v>
      </c>
      <c r="M336" s="475" t="s">
        <v>456</v>
      </c>
      <c r="N336" s="345">
        <f t="shared" si="5"/>
        <v>800000</v>
      </c>
      <c r="O336" s="15"/>
      <c r="P336" s="16"/>
      <c r="Q336" s="16"/>
      <c r="R336" s="16"/>
      <c r="S336" s="16"/>
      <c r="T336" s="16"/>
      <c r="U336" s="16"/>
      <c r="V336" s="16"/>
      <c r="W336" s="16"/>
      <c r="X336" s="16"/>
      <c r="Y336" s="16"/>
      <c r="Z336" s="17"/>
      <c r="AE336" s="345">
        <v>4000000</v>
      </c>
    </row>
    <row r="337" spans="1:31" s="59" customFormat="1" ht="51">
      <c r="A337" s="8"/>
      <c r="B337" s="11" t="str">
        <f>+IFERROR(VLOOKUP(C337,Listas!$L$8:$M$101,2,FALSE),"")</f>
        <v>10070103</v>
      </c>
      <c r="C337" s="342" t="s">
        <v>493</v>
      </c>
      <c r="D337" s="274"/>
      <c r="E337" s="275"/>
      <c r="F337" s="628"/>
      <c r="G337" s="385" t="s">
        <v>1207</v>
      </c>
      <c r="H337" s="9" t="str">
        <f>+IF(I337=""," ",VLOOKUP(I337,Listas!$I$8:$J$10,2,FALSE))</f>
        <v xml:space="preserve"> </v>
      </c>
      <c r="I337" s="495"/>
      <c r="J337" s="356" t="str">
        <f>+IF(K337=""," ",VLOOKUP(K337,PUC!$B:$C,2,FALSE))</f>
        <v xml:space="preserve"> </v>
      </c>
      <c r="K337" s="334"/>
      <c r="L337" s="11" t="str">
        <f>+IF(M337=""," ",VLOOKUP(M337,Listas!$F$9:$G$17,2,FALSE))</f>
        <v>08</v>
      </c>
      <c r="M337" s="475" t="s">
        <v>456</v>
      </c>
      <c r="N337" s="345">
        <f t="shared" si="5"/>
        <v>0</v>
      </c>
      <c r="O337" s="15"/>
      <c r="P337" s="16"/>
      <c r="Q337" s="16"/>
      <c r="R337" s="16"/>
      <c r="S337" s="16"/>
      <c r="T337" s="16"/>
      <c r="U337" s="16"/>
      <c r="V337" s="16"/>
      <c r="W337" s="16"/>
      <c r="X337" s="16"/>
      <c r="Y337" s="16"/>
      <c r="Z337" s="17"/>
      <c r="AE337" s="345"/>
    </row>
    <row r="338" spans="1:31" s="59" customFormat="1" ht="25.5">
      <c r="A338" s="8"/>
      <c r="B338" s="11" t="str">
        <f>+IFERROR(VLOOKUP(C338,Listas!$L$8:$M$101,2,FALSE),"")</f>
        <v>10070103</v>
      </c>
      <c r="C338" s="342" t="s">
        <v>493</v>
      </c>
      <c r="D338" s="274"/>
      <c r="E338" s="275"/>
      <c r="F338" s="629"/>
      <c r="G338" s="385" t="s">
        <v>1208</v>
      </c>
      <c r="H338" s="9" t="str">
        <f>+IF(I338=""," ",VLOOKUP(I338,Listas!$I$8:$J$10,2,FALSE))</f>
        <v>04</v>
      </c>
      <c r="I338" s="495" t="s">
        <v>466</v>
      </c>
      <c r="J338" s="356">
        <f>+IF(K338=""," ",VLOOKUP(K338,PUC!$B:$C,2,FALSE))</f>
        <v>6208021104</v>
      </c>
      <c r="K338" s="334" t="s">
        <v>987</v>
      </c>
      <c r="L338" s="11" t="str">
        <f>+IF(M338=""," ",VLOOKUP(M338,Listas!$F$9:$G$17,2,FALSE))</f>
        <v>08</v>
      </c>
      <c r="M338" s="475" t="s">
        <v>456</v>
      </c>
      <c r="N338" s="345">
        <f t="shared" si="5"/>
        <v>600000</v>
      </c>
      <c r="O338" s="15"/>
      <c r="P338" s="16"/>
      <c r="Q338" s="16"/>
      <c r="R338" s="16"/>
      <c r="S338" s="16"/>
      <c r="T338" s="16"/>
      <c r="U338" s="16"/>
      <c r="V338" s="16"/>
      <c r="W338" s="16"/>
      <c r="X338" s="16"/>
      <c r="Y338" s="16"/>
      <c r="Z338" s="17"/>
      <c r="AE338" s="345">
        <v>3000000</v>
      </c>
    </row>
    <row r="339" spans="1:31" s="59" customFormat="1" ht="25.5">
      <c r="A339" s="8"/>
      <c r="B339" s="11" t="str">
        <f>+IFERROR(VLOOKUP(C339,Listas!$L$8:$M$101,2,FALSE),"")</f>
        <v>10070103</v>
      </c>
      <c r="C339" s="342" t="s">
        <v>493</v>
      </c>
      <c r="D339" s="274"/>
      <c r="E339" s="275"/>
      <c r="F339" s="357" t="s">
        <v>1116</v>
      </c>
      <c r="G339" s="385" t="s">
        <v>1209</v>
      </c>
      <c r="H339" s="9" t="str">
        <f>+IF(I339=""," ",VLOOKUP(I339,Listas!$I$8:$J$10,2,FALSE))</f>
        <v xml:space="preserve"> </v>
      </c>
      <c r="I339" s="495"/>
      <c r="J339" s="356" t="str">
        <f>+IF(K339=""," ",VLOOKUP(K339,PUC!$B:$C,2,FALSE))</f>
        <v xml:space="preserve"> </v>
      </c>
      <c r="K339" s="334"/>
      <c r="L339" s="11" t="str">
        <f>+IF(M339=""," ",VLOOKUP(M339,Listas!$F$9:$G$17,2,FALSE))</f>
        <v>08</v>
      </c>
      <c r="M339" s="475" t="s">
        <v>456</v>
      </c>
      <c r="N339" s="345">
        <f t="shared" si="5"/>
        <v>0</v>
      </c>
      <c r="O339" s="15"/>
      <c r="P339" s="16"/>
      <c r="Q339" s="16"/>
      <c r="R339" s="16"/>
      <c r="S339" s="16"/>
      <c r="T339" s="16"/>
      <c r="U339" s="16"/>
      <c r="V339" s="16"/>
      <c r="W339" s="16"/>
      <c r="X339" s="16"/>
      <c r="Y339" s="16"/>
      <c r="Z339" s="17"/>
      <c r="AE339" s="345"/>
    </row>
    <row r="340" spans="1:31" s="59" customFormat="1" ht="25.5">
      <c r="A340" s="8"/>
      <c r="B340" s="11" t="str">
        <f>+IFERROR(VLOOKUP(C340,Listas!$L$8:$M$101,2,FALSE),"")</f>
        <v>10070103</v>
      </c>
      <c r="C340" s="342" t="s">
        <v>493</v>
      </c>
      <c r="D340" s="274"/>
      <c r="E340" s="275"/>
      <c r="F340" s="627" t="s">
        <v>1210</v>
      </c>
      <c r="G340" s="385" t="s">
        <v>1211</v>
      </c>
      <c r="H340" s="9" t="str">
        <f>+IF(I340=""," ",VLOOKUP(I340,Listas!$I$8:$J$10,2,FALSE))</f>
        <v xml:space="preserve"> </v>
      </c>
      <c r="I340" s="495"/>
      <c r="J340" s="356" t="str">
        <f>+IF(K340=""," ",VLOOKUP(K340,PUC!$B:$C,2,FALSE))</f>
        <v xml:space="preserve"> </v>
      </c>
      <c r="K340" s="334"/>
      <c r="L340" s="11" t="str">
        <f>+IF(M340=""," ",VLOOKUP(M340,Listas!$F$9:$G$17,2,FALSE))</f>
        <v>08</v>
      </c>
      <c r="M340" s="475" t="s">
        <v>456</v>
      </c>
      <c r="N340" s="345">
        <f t="shared" si="5"/>
        <v>0</v>
      </c>
      <c r="O340" s="15"/>
      <c r="P340" s="16"/>
      <c r="Q340" s="16"/>
      <c r="R340" s="16"/>
      <c r="S340" s="16"/>
      <c r="T340" s="16"/>
      <c r="U340" s="16"/>
      <c r="V340" s="16"/>
      <c r="W340" s="16"/>
      <c r="X340" s="16"/>
      <c r="Y340" s="16"/>
      <c r="Z340" s="17"/>
      <c r="AE340" s="345"/>
    </row>
    <row r="341" spans="1:31" s="59" customFormat="1" ht="25.5">
      <c r="A341" s="8"/>
      <c r="B341" s="11" t="str">
        <f>+IFERROR(VLOOKUP(C341,Listas!$L$8:$M$101,2,FALSE),"")</f>
        <v>10070103</v>
      </c>
      <c r="C341" s="342" t="s">
        <v>493</v>
      </c>
      <c r="D341" s="274"/>
      <c r="E341" s="275"/>
      <c r="F341" s="629"/>
      <c r="G341" s="385" t="s">
        <v>1212</v>
      </c>
      <c r="H341" s="9" t="str">
        <f>+IF(I341=""," ",VLOOKUP(I341,Listas!$I$8:$J$10,2,FALSE))</f>
        <v xml:space="preserve"> </v>
      </c>
      <c r="I341" s="495"/>
      <c r="J341" s="356" t="str">
        <f>+IF(K341=""," ",VLOOKUP(K341,PUC!$B:$C,2,FALSE))</f>
        <v xml:space="preserve"> </v>
      </c>
      <c r="K341" s="334"/>
      <c r="L341" s="11" t="str">
        <f>+IF(M341=""," ",VLOOKUP(M341,Listas!$F$9:$G$17,2,FALSE))</f>
        <v>08</v>
      </c>
      <c r="M341" s="475" t="s">
        <v>456</v>
      </c>
      <c r="N341" s="345">
        <f t="shared" si="5"/>
        <v>0</v>
      </c>
      <c r="O341" s="15"/>
      <c r="P341" s="16"/>
      <c r="Q341" s="16"/>
      <c r="R341" s="16"/>
      <c r="S341" s="16"/>
      <c r="T341" s="16"/>
      <c r="U341" s="16"/>
      <c r="V341" s="16"/>
      <c r="W341" s="16"/>
      <c r="X341" s="16"/>
      <c r="Y341" s="16"/>
      <c r="Z341" s="17"/>
      <c r="AE341" s="345"/>
    </row>
    <row r="342" spans="1:31" s="59" customFormat="1" ht="51">
      <c r="A342" s="8"/>
      <c r="B342" s="11" t="str">
        <f>+IFERROR(VLOOKUP(C342,Listas!$L$8:$M$101,2,FALSE),"")</f>
        <v>10070103</v>
      </c>
      <c r="C342" s="342" t="s">
        <v>493</v>
      </c>
      <c r="D342" s="274"/>
      <c r="E342" s="275"/>
      <c r="F342" s="357" t="s">
        <v>1213</v>
      </c>
      <c r="G342" s="385" t="s">
        <v>1214</v>
      </c>
      <c r="H342" s="9" t="str">
        <f>+IF(I342=""," ",VLOOKUP(I342,Listas!$I$8:$J$10,2,FALSE))</f>
        <v xml:space="preserve"> </v>
      </c>
      <c r="I342" s="495"/>
      <c r="J342" s="356" t="str">
        <f>+IF(K342=""," ",VLOOKUP(K342,PUC!$B:$C,2,FALSE))</f>
        <v xml:space="preserve"> </v>
      </c>
      <c r="K342" s="334"/>
      <c r="L342" s="11" t="str">
        <f>+IF(M342=""," ",VLOOKUP(M342,Listas!$F$9:$G$17,2,FALSE))</f>
        <v>08</v>
      </c>
      <c r="M342" s="475" t="s">
        <v>456</v>
      </c>
      <c r="N342" s="345">
        <f t="shared" si="5"/>
        <v>0</v>
      </c>
      <c r="O342" s="15"/>
      <c r="P342" s="16"/>
      <c r="Q342" s="16"/>
      <c r="R342" s="16"/>
      <c r="S342" s="16"/>
      <c r="T342" s="16"/>
      <c r="U342" s="16"/>
      <c r="V342" s="16"/>
      <c r="W342" s="16"/>
      <c r="X342" s="16"/>
      <c r="Y342" s="16"/>
      <c r="Z342" s="17"/>
      <c r="AE342" s="345"/>
    </row>
    <row r="343" spans="1:31" s="59" customFormat="1" ht="25.5">
      <c r="A343" s="8"/>
      <c r="B343" s="11" t="str">
        <f>+IFERROR(VLOOKUP(C343,Listas!$L$8:$M$101,2,FALSE),"")</f>
        <v>10070103</v>
      </c>
      <c r="C343" s="342" t="s">
        <v>493</v>
      </c>
      <c r="D343" s="274"/>
      <c r="E343" s="275"/>
      <c r="F343" s="627" t="s">
        <v>1215</v>
      </c>
      <c r="G343" s="385" t="s">
        <v>1216</v>
      </c>
      <c r="H343" s="9" t="str">
        <f>+IF(I343=""," ",VLOOKUP(I343,Listas!$I$8:$J$10,2,FALSE))</f>
        <v xml:space="preserve"> </v>
      </c>
      <c r="I343" s="495"/>
      <c r="J343" s="356" t="str">
        <f>+IF(K343=""," ",VLOOKUP(K343,PUC!$B:$C,2,FALSE))</f>
        <v xml:space="preserve"> </v>
      </c>
      <c r="K343" s="334"/>
      <c r="L343" s="11" t="str">
        <f>+IF(M343=""," ",VLOOKUP(M343,Listas!$F$9:$G$17,2,FALSE))</f>
        <v>08</v>
      </c>
      <c r="M343" s="475" t="s">
        <v>456</v>
      </c>
      <c r="N343" s="345">
        <f t="shared" si="5"/>
        <v>0</v>
      </c>
      <c r="O343" s="15"/>
      <c r="P343" s="16"/>
      <c r="Q343" s="16"/>
      <c r="R343" s="16"/>
      <c r="S343" s="16"/>
      <c r="T343" s="16"/>
      <c r="U343" s="16"/>
      <c r="V343" s="16"/>
      <c r="W343" s="16"/>
      <c r="X343" s="16"/>
      <c r="Y343" s="16"/>
      <c r="Z343" s="17"/>
      <c r="AE343" s="345"/>
    </row>
    <row r="344" spans="1:31" s="59" customFormat="1" ht="25.5">
      <c r="A344" s="8"/>
      <c r="B344" s="11" t="str">
        <f>+IFERROR(VLOOKUP(C344,Listas!$L$8:$M$101,2,FALSE),"")</f>
        <v>10070103</v>
      </c>
      <c r="C344" s="342" t="s">
        <v>493</v>
      </c>
      <c r="D344" s="274"/>
      <c r="E344" s="275"/>
      <c r="F344" s="628"/>
      <c r="G344" s="385" t="s">
        <v>1217</v>
      </c>
      <c r="H344" s="9" t="str">
        <f>+IF(I344=""," ",VLOOKUP(I344,Listas!$I$8:$J$10,2,FALSE))</f>
        <v xml:space="preserve"> </v>
      </c>
      <c r="I344" s="495"/>
      <c r="J344" s="356" t="str">
        <f>+IF(K344=""," ",VLOOKUP(K344,PUC!$B:$C,2,FALSE))</f>
        <v xml:space="preserve"> </v>
      </c>
      <c r="K344" s="334"/>
      <c r="L344" s="11" t="str">
        <f>+IF(M344=""," ",VLOOKUP(M344,Listas!$F$9:$G$17,2,FALSE))</f>
        <v>08</v>
      </c>
      <c r="M344" s="475" t="s">
        <v>456</v>
      </c>
      <c r="N344" s="345">
        <f t="shared" si="5"/>
        <v>0</v>
      </c>
      <c r="O344" s="15"/>
      <c r="P344" s="16"/>
      <c r="Q344" s="16"/>
      <c r="R344" s="16"/>
      <c r="S344" s="16"/>
      <c r="T344" s="16"/>
      <c r="U344" s="16"/>
      <c r="V344" s="16"/>
      <c r="W344" s="16"/>
      <c r="X344" s="16"/>
      <c r="Y344" s="16"/>
      <c r="Z344" s="17"/>
      <c r="AE344" s="345"/>
    </row>
    <row r="345" spans="1:31" s="59" customFormat="1" ht="27.75" customHeight="1">
      <c r="A345" s="8"/>
      <c r="B345" s="11" t="str">
        <f>+IFERROR(VLOOKUP(C345,Listas!$L$8:$M$101,2,FALSE),"")</f>
        <v>10070103</v>
      </c>
      <c r="C345" s="342" t="s">
        <v>493</v>
      </c>
      <c r="D345" s="274"/>
      <c r="E345" s="275"/>
      <c r="F345" s="629"/>
      <c r="G345" s="385" t="s">
        <v>1218</v>
      </c>
      <c r="H345" s="9" t="str">
        <f>+IF(I345=""," ",VLOOKUP(I345,Listas!$I$8:$J$10,2,FALSE))</f>
        <v xml:space="preserve"> </v>
      </c>
      <c r="I345" s="495"/>
      <c r="J345" s="356" t="str">
        <f>+IF(K345=""," ",VLOOKUP(K345,PUC!$B:$C,2,FALSE))</f>
        <v xml:space="preserve"> </v>
      </c>
      <c r="K345" s="334"/>
      <c r="L345" s="11" t="str">
        <f>+IF(M345=""," ",VLOOKUP(M345,Listas!$F$9:$G$17,2,FALSE))</f>
        <v>08</v>
      </c>
      <c r="M345" s="475" t="s">
        <v>456</v>
      </c>
      <c r="N345" s="345">
        <f t="shared" si="5"/>
        <v>0</v>
      </c>
      <c r="O345" s="15"/>
      <c r="P345" s="16"/>
      <c r="Q345" s="16"/>
      <c r="R345" s="16"/>
      <c r="S345" s="16"/>
      <c r="T345" s="16"/>
      <c r="U345" s="16"/>
      <c r="V345" s="16"/>
      <c r="W345" s="16"/>
      <c r="X345" s="16"/>
      <c r="Y345" s="16"/>
      <c r="Z345" s="17"/>
      <c r="AE345" s="345"/>
    </row>
    <row r="346" spans="1:31" s="59" customFormat="1" ht="38.25">
      <c r="A346" s="8"/>
      <c r="B346" s="11" t="str">
        <f>+IFERROR(VLOOKUP(C346,Listas!$L$8:$M$101,2,FALSE),"")</f>
        <v>10070103</v>
      </c>
      <c r="C346" s="342" t="s">
        <v>493</v>
      </c>
      <c r="D346" s="274"/>
      <c r="E346" s="275"/>
      <c r="F346" s="627" t="s">
        <v>1219</v>
      </c>
      <c r="G346" s="385" t="s">
        <v>1227</v>
      </c>
      <c r="H346" s="9" t="str">
        <f>+IF(I346=""," ",VLOOKUP(I346,Listas!$I$8:$J$10,2,FALSE))</f>
        <v xml:space="preserve"> </v>
      </c>
      <c r="I346" s="495"/>
      <c r="J346" s="356" t="str">
        <f>+IF(K346=""," ",VLOOKUP(K346,PUC!$B:$C,2,FALSE))</f>
        <v xml:space="preserve"> </v>
      </c>
      <c r="K346" s="334"/>
      <c r="L346" s="11" t="str">
        <f>+IF(M346=""," ",VLOOKUP(M346,Listas!$F$9:$G$17,2,FALSE))</f>
        <v>08</v>
      </c>
      <c r="M346" s="475" t="s">
        <v>456</v>
      </c>
      <c r="N346" s="345">
        <f t="shared" si="5"/>
        <v>0</v>
      </c>
      <c r="O346" s="15"/>
      <c r="P346" s="16"/>
      <c r="Q346" s="16"/>
      <c r="R346" s="16"/>
      <c r="S346" s="16"/>
      <c r="T346" s="16"/>
      <c r="U346" s="16"/>
      <c r="V346" s="16"/>
      <c r="W346" s="16"/>
      <c r="X346" s="16"/>
      <c r="Y346" s="16"/>
      <c r="Z346" s="17"/>
      <c r="AE346" s="345"/>
    </row>
    <row r="347" spans="1:31" s="59" customFormat="1" ht="25.5">
      <c r="A347" s="8"/>
      <c r="B347" s="11" t="str">
        <f>+IFERROR(VLOOKUP(C347,Listas!$L$8:$M$101,2,FALSE),"")</f>
        <v>10070103</v>
      </c>
      <c r="C347" s="342" t="s">
        <v>493</v>
      </c>
      <c r="D347" s="274"/>
      <c r="E347" s="275"/>
      <c r="F347" s="629"/>
      <c r="G347" s="385" t="s">
        <v>1220</v>
      </c>
      <c r="H347" s="9" t="str">
        <f>+IF(I347=""," ",VLOOKUP(I347,Listas!$I$8:$J$10,2,FALSE))</f>
        <v xml:space="preserve"> </v>
      </c>
      <c r="I347" s="495"/>
      <c r="J347" s="356" t="str">
        <f>+IF(K347=""," ",VLOOKUP(K347,PUC!$B:$C,2,FALSE))</f>
        <v xml:space="preserve"> </v>
      </c>
      <c r="K347" s="334"/>
      <c r="L347" s="11" t="str">
        <f>+IF(M347=""," ",VLOOKUP(M347,Listas!$F$9:$G$17,2,FALSE))</f>
        <v>08</v>
      </c>
      <c r="M347" s="475" t="s">
        <v>456</v>
      </c>
      <c r="N347" s="345">
        <f t="shared" si="5"/>
        <v>0</v>
      </c>
      <c r="O347" s="15"/>
      <c r="P347" s="16"/>
      <c r="Q347" s="16"/>
      <c r="R347" s="16"/>
      <c r="S347" s="16"/>
      <c r="T347" s="16"/>
      <c r="U347" s="16"/>
      <c r="V347" s="16"/>
      <c r="W347" s="16"/>
      <c r="X347" s="16"/>
      <c r="Y347" s="16"/>
      <c r="Z347" s="17"/>
      <c r="AE347" s="345"/>
    </row>
    <row r="348" spans="1:31" s="59" customFormat="1" ht="25.5">
      <c r="A348" s="8"/>
      <c r="B348" s="11" t="str">
        <f>+IFERROR(VLOOKUP(C348,Listas!$L$8:$M$101,2,FALSE),"")</f>
        <v>10070103</v>
      </c>
      <c r="C348" s="342" t="s">
        <v>493</v>
      </c>
      <c r="D348" s="274"/>
      <c r="E348" s="275"/>
      <c r="F348" s="357" t="s">
        <v>1221</v>
      </c>
      <c r="G348" s="385" t="s">
        <v>1222</v>
      </c>
      <c r="H348" s="9" t="str">
        <f>+IF(I348=""," ",VLOOKUP(I348,Listas!$I$8:$J$10,2,FALSE))</f>
        <v xml:space="preserve"> </v>
      </c>
      <c r="I348" s="495"/>
      <c r="J348" s="356" t="str">
        <f>+IF(K348=""," ",VLOOKUP(K348,PUC!$B:$C,2,FALSE))</f>
        <v xml:space="preserve"> </v>
      </c>
      <c r="K348" s="334"/>
      <c r="L348" s="11" t="str">
        <f>+IF(M348=""," ",VLOOKUP(M348,Listas!$F$9:$G$17,2,FALSE))</f>
        <v>08</v>
      </c>
      <c r="M348" s="475" t="s">
        <v>456</v>
      </c>
      <c r="N348" s="345">
        <f t="shared" si="5"/>
        <v>0</v>
      </c>
      <c r="O348" s="15"/>
      <c r="P348" s="16"/>
      <c r="Q348" s="16"/>
      <c r="R348" s="16"/>
      <c r="S348" s="16"/>
      <c r="T348" s="16"/>
      <c r="U348" s="16"/>
      <c r="V348" s="16"/>
      <c r="W348" s="16"/>
      <c r="X348" s="16"/>
      <c r="Y348" s="16"/>
      <c r="Z348" s="17"/>
      <c r="AE348" s="345"/>
    </row>
    <row r="349" spans="1:31" s="59" customFormat="1" ht="38.25">
      <c r="A349" s="8"/>
      <c r="B349" s="11" t="str">
        <f>+IFERROR(VLOOKUP(C349,Listas!$L$8:$M$101,2,FALSE),"")</f>
        <v>10070103</v>
      </c>
      <c r="C349" s="342" t="s">
        <v>493</v>
      </c>
      <c r="D349" s="274"/>
      <c r="E349" s="275"/>
      <c r="F349" s="357" t="s">
        <v>1223</v>
      </c>
      <c r="G349" s="385" t="s">
        <v>1224</v>
      </c>
      <c r="H349" s="9" t="str">
        <f>+IF(I349=""," ",VLOOKUP(I349,Listas!$I$8:$J$10,2,FALSE))</f>
        <v xml:space="preserve"> </v>
      </c>
      <c r="I349" s="495"/>
      <c r="J349" s="356" t="str">
        <f>+IF(K349=""," ",VLOOKUP(K349,PUC!$B:$C,2,FALSE))</f>
        <v xml:space="preserve"> </v>
      </c>
      <c r="K349" s="334"/>
      <c r="L349" s="11" t="str">
        <f>+IF(M349=""," ",VLOOKUP(M349,Listas!$F$9:$G$17,2,FALSE))</f>
        <v>08</v>
      </c>
      <c r="M349" s="475" t="s">
        <v>456</v>
      </c>
      <c r="N349" s="345">
        <f t="shared" si="5"/>
        <v>0</v>
      </c>
      <c r="O349" s="15"/>
      <c r="P349" s="16"/>
      <c r="Q349" s="16"/>
      <c r="R349" s="16"/>
      <c r="S349" s="16"/>
      <c r="T349" s="16"/>
      <c r="U349" s="16"/>
      <c r="V349" s="16"/>
      <c r="W349" s="16"/>
      <c r="X349" s="16"/>
      <c r="Y349" s="16"/>
      <c r="Z349" s="17"/>
      <c r="AE349" s="345"/>
    </row>
    <row r="350" spans="1:31" s="59" customFormat="1" ht="38.25">
      <c r="A350" s="8"/>
      <c r="B350" s="11" t="str">
        <f>+IFERROR(VLOOKUP(C350,Listas!$L$8:$M$101,2,FALSE),"")</f>
        <v>10070103</v>
      </c>
      <c r="C350" s="342" t="s">
        <v>493</v>
      </c>
      <c r="D350" s="274"/>
      <c r="E350" s="275"/>
      <c r="F350" s="357" t="s">
        <v>1225</v>
      </c>
      <c r="G350" s="385" t="s">
        <v>1226</v>
      </c>
      <c r="H350" s="9" t="str">
        <f>+IF(I350=""," ",VLOOKUP(I350,Listas!$I$8:$J$10,2,FALSE))</f>
        <v xml:space="preserve"> </v>
      </c>
      <c r="I350" s="495"/>
      <c r="J350" s="356" t="str">
        <f>+IF(K350=""," ",VLOOKUP(K350,PUC!$B:$C,2,FALSE))</f>
        <v xml:space="preserve"> </v>
      </c>
      <c r="K350" s="334"/>
      <c r="L350" s="11" t="str">
        <f>+IF(M350=""," ",VLOOKUP(M350,Listas!$F$9:$G$17,2,FALSE))</f>
        <v>08</v>
      </c>
      <c r="M350" s="475" t="s">
        <v>456</v>
      </c>
      <c r="N350" s="345">
        <f t="shared" si="5"/>
        <v>0</v>
      </c>
      <c r="O350" s="15"/>
      <c r="P350" s="16"/>
      <c r="Q350" s="16"/>
      <c r="R350" s="16"/>
      <c r="S350" s="16"/>
      <c r="T350" s="16"/>
      <c r="U350" s="16"/>
      <c r="V350" s="16"/>
      <c r="W350" s="16"/>
      <c r="X350" s="16"/>
      <c r="Y350" s="16"/>
      <c r="Z350" s="17"/>
      <c r="AE350" s="345"/>
    </row>
    <row r="351" spans="1:31" s="59" customFormat="1" ht="29.25" customHeight="1" thickBot="1">
      <c r="A351" s="8"/>
      <c r="B351" s="11" t="str">
        <f>+IFERROR(VLOOKUP(C351,Listas!$L$8:$M$101,2,FALSE),"")</f>
        <v>10070103</v>
      </c>
      <c r="C351" s="342" t="s">
        <v>493</v>
      </c>
      <c r="D351" s="274"/>
      <c r="E351" s="275"/>
      <c r="F351" s="357"/>
      <c r="G351" s="385" t="s">
        <v>1355</v>
      </c>
      <c r="H351" s="9" t="str">
        <f>+IF(I351=""," ",VLOOKUP(I351,Listas!$I$8:$J$10,2,FALSE))</f>
        <v>04</v>
      </c>
      <c r="I351" s="495" t="s">
        <v>466</v>
      </c>
      <c r="J351" s="356">
        <f>+IF(K351=""," ",VLOOKUP(K351,PUC!$B:$C,2,FALSE))</f>
        <v>6208022102</v>
      </c>
      <c r="K351" s="334" t="s">
        <v>974</v>
      </c>
      <c r="L351" s="11" t="str">
        <f>+IF(M351=""," ",VLOOKUP(M351,Listas!$F$9:$G$17,2,FALSE))</f>
        <v>08</v>
      </c>
      <c r="M351" s="475" t="s">
        <v>456</v>
      </c>
      <c r="N351" s="345">
        <f t="shared" si="5"/>
        <v>4800000</v>
      </c>
      <c r="O351" s="15"/>
      <c r="P351" s="16"/>
      <c r="Q351" s="16"/>
      <c r="R351" s="16"/>
      <c r="S351" s="16"/>
      <c r="T351" s="16"/>
      <c r="U351" s="16"/>
      <c r="V351" s="16"/>
      <c r="W351" s="16"/>
      <c r="X351" s="16"/>
      <c r="Y351" s="16"/>
      <c r="Z351" s="17"/>
      <c r="AE351" s="345">
        <v>24000000</v>
      </c>
    </row>
    <row r="352" spans="1:31" s="59" customFormat="1" ht="29.25" hidden="1" customHeight="1">
      <c r="A352" s="8"/>
      <c r="B352" s="11" t="str">
        <f>+IFERROR(VLOOKUP(C352,Listas!$L$8:$M$101,2,FALSE),"")</f>
        <v>10070103</v>
      </c>
      <c r="C352" s="342" t="s">
        <v>493</v>
      </c>
      <c r="D352" s="274"/>
      <c r="E352" s="275"/>
      <c r="F352" s="357"/>
      <c r="G352" s="385"/>
      <c r="H352" s="9" t="str">
        <f>+IF(I352=""," ",VLOOKUP(I352,Listas!$I$8:$J$10,2,FALSE))</f>
        <v xml:space="preserve"> </v>
      </c>
      <c r="I352" s="495"/>
      <c r="J352" s="356" t="str">
        <f>+IF(K352=""," ",VLOOKUP(K352,PUC!$B:$C,2,FALSE))</f>
        <v xml:space="preserve"> </v>
      </c>
      <c r="K352" s="334"/>
      <c r="L352" s="11" t="str">
        <f>+IF(M352=""," ",VLOOKUP(M352,Listas!$F$9:$G$17,2,FALSE))</f>
        <v>08</v>
      </c>
      <c r="M352" s="475" t="s">
        <v>456</v>
      </c>
      <c r="N352" s="345">
        <f t="shared" si="5"/>
        <v>0</v>
      </c>
      <c r="O352" s="15"/>
      <c r="P352" s="16"/>
      <c r="Q352" s="16"/>
      <c r="R352" s="16"/>
      <c r="S352" s="16"/>
      <c r="T352" s="16"/>
      <c r="U352" s="16"/>
      <c r="V352" s="16"/>
      <c r="W352" s="16"/>
      <c r="X352" s="16"/>
      <c r="Y352" s="16"/>
      <c r="Z352" s="17"/>
      <c r="AE352" s="345"/>
    </row>
    <row r="353" spans="1:31" s="59" customFormat="1" ht="29.25" hidden="1" customHeight="1">
      <c r="A353" s="8"/>
      <c r="B353" s="11" t="str">
        <f>+IFERROR(VLOOKUP(C353,Listas!$L$8:$M$101,2,FALSE),"")</f>
        <v>10070103</v>
      </c>
      <c r="C353" s="342" t="s">
        <v>493</v>
      </c>
      <c r="D353" s="274"/>
      <c r="E353" s="275"/>
      <c r="F353" s="357"/>
      <c r="G353" s="385"/>
      <c r="H353" s="9" t="str">
        <f>+IF(I353=""," ",VLOOKUP(I353,Listas!$I$8:$J$10,2,FALSE))</f>
        <v xml:space="preserve"> </v>
      </c>
      <c r="I353" s="495"/>
      <c r="J353" s="356" t="str">
        <f>+IF(K353=""," ",VLOOKUP(K353,PUC!$B:$C,2,FALSE))</f>
        <v xml:space="preserve"> </v>
      </c>
      <c r="K353" s="334"/>
      <c r="L353" s="11" t="str">
        <f>+IF(M353=""," ",VLOOKUP(M353,Listas!$F$9:$G$17,2,FALSE))</f>
        <v>08</v>
      </c>
      <c r="M353" s="475" t="s">
        <v>456</v>
      </c>
      <c r="N353" s="345">
        <f t="shared" si="5"/>
        <v>0</v>
      </c>
      <c r="O353" s="15"/>
      <c r="P353" s="16"/>
      <c r="Q353" s="16"/>
      <c r="R353" s="16"/>
      <c r="S353" s="16"/>
      <c r="T353" s="16"/>
      <c r="U353" s="16"/>
      <c r="V353" s="16"/>
      <c r="W353" s="16"/>
      <c r="X353" s="16"/>
      <c r="Y353" s="16"/>
      <c r="Z353" s="17"/>
      <c r="AE353" s="345"/>
    </row>
    <row r="354" spans="1:31" s="59" customFormat="1" ht="29.25" hidden="1" customHeight="1">
      <c r="A354" s="8"/>
      <c r="B354" s="11" t="str">
        <f>+IFERROR(VLOOKUP(C354,Listas!$L$8:$M$101,2,FALSE),"")</f>
        <v>10070103</v>
      </c>
      <c r="C354" s="342" t="s">
        <v>493</v>
      </c>
      <c r="D354" s="274"/>
      <c r="E354" s="275"/>
      <c r="F354" s="357"/>
      <c r="G354" s="385"/>
      <c r="H354" s="9" t="str">
        <f>+IF(I354=""," ",VLOOKUP(I354,Listas!$I$8:$J$10,2,FALSE))</f>
        <v xml:space="preserve"> </v>
      </c>
      <c r="I354" s="495"/>
      <c r="J354" s="356" t="str">
        <f>+IF(K354=""," ",VLOOKUP(K354,PUC!$B:$C,2,FALSE))</f>
        <v xml:space="preserve"> </v>
      </c>
      <c r="K354" s="334"/>
      <c r="L354" s="11" t="str">
        <f>+IF(M354=""," ",VLOOKUP(M354,Listas!$F$9:$G$17,2,FALSE))</f>
        <v>08</v>
      </c>
      <c r="M354" s="475" t="s">
        <v>456</v>
      </c>
      <c r="N354" s="345">
        <f t="shared" si="5"/>
        <v>0</v>
      </c>
      <c r="O354" s="15"/>
      <c r="P354" s="16"/>
      <c r="Q354" s="16"/>
      <c r="R354" s="16"/>
      <c r="S354" s="16"/>
      <c r="T354" s="16"/>
      <c r="U354" s="16"/>
      <c r="V354" s="16"/>
      <c r="W354" s="16"/>
      <c r="X354" s="16"/>
      <c r="Y354" s="16"/>
      <c r="Z354" s="17"/>
      <c r="AE354" s="345"/>
    </row>
    <row r="355" spans="1:31" s="59" customFormat="1" ht="29.25" hidden="1" customHeight="1">
      <c r="A355" s="8"/>
      <c r="B355" s="11" t="str">
        <f>+IFERROR(VLOOKUP(C355,Listas!$L$8:$M$101,2,FALSE),"")</f>
        <v>10070103</v>
      </c>
      <c r="C355" s="342" t="s">
        <v>493</v>
      </c>
      <c r="D355" s="274"/>
      <c r="E355" s="275"/>
      <c r="F355" s="357"/>
      <c r="G355" s="385"/>
      <c r="H355" s="9" t="str">
        <f>+IF(I355=""," ",VLOOKUP(I355,Listas!$I$8:$J$10,2,FALSE))</f>
        <v xml:space="preserve"> </v>
      </c>
      <c r="I355" s="495"/>
      <c r="J355" s="356" t="str">
        <f>+IF(K355=""," ",VLOOKUP(K355,PUC!$B:$C,2,FALSE))</f>
        <v xml:space="preserve"> </v>
      </c>
      <c r="K355" s="334"/>
      <c r="L355" s="11" t="str">
        <f>+IF(M355=""," ",VLOOKUP(M355,Listas!$F$9:$G$17,2,FALSE))</f>
        <v>08</v>
      </c>
      <c r="M355" s="475" t="s">
        <v>456</v>
      </c>
      <c r="N355" s="345">
        <f t="shared" si="5"/>
        <v>0</v>
      </c>
      <c r="O355" s="15"/>
      <c r="P355" s="16"/>
      <c r="Q355" s="16"/>
      <c r="R355" s="16"/>
      <c r="S355" s="16"/>
      <c r="T355" s="16"/>
      <c r="U355" s="16"/>
      <c r="V355" s="16"/>
      <c r="W355" s="16"/>
      <c r="X355" s="16"/>
      <c r="Y355" s="16"/>
      <c r="Z355" s="17"/>
      <c r="AE355" s="345"/>
    </row>
    <row r="356" spans="1:31" s="59" customFormat="1" ht="29.25" hidden="1" customHeight="1">
      <c r="A356" s="8"/>
      <c r="B356" s="11" t="str">
        <f>+IFERROR(VLOOKUP(C356,Listas!$L$8:$M$101,2,FALSE),"")</f>
        <v>10070103</v>
      </c>
      <c r="C356" s="342" t="s">
        <v>493</v>
      </c>
      <c r="D356" s="274"/>
      <c r="E356" s="275"/>
      <c r="F356" s="357"/>
      <c r="G356" s="385"/>
      <c r="H356" s="9" t="str">
        <f>+IF(I356=""," ",VLOOKUP(I356,Listas!$I$8:$J$10,2,FALSE))</f>
        <v xml:space="preserve"> </v>
      </c>
      <c r="I356" s="495"/>
      <c r="J356" s="356" t="str">
        <f>+IF(K356=""," ",VLOOKUP(K356,PUC!$B:$C,2,FALSE))</f>
        <v xml:space="preserve"> </v>
      </c>
      <c r="K356" s="334"/>
      <c r="L356" s="11" t="str">
        <f>+IF(M356=""," ",VLOOKUP(M356,Listas!$F$9:$G$17,2,FALSE))</f>
        <v>08</v>
      </c>
      <c r="M356" s="475" t="s">
        <v>456</v>
      </c>
      <c r="N356" s="345">
        <f t="shared" si="5"/>
        <v>0</v>
      </c>
      <c r="O356" s="15"/>
      <c r="P356" s="16"/>
      <c r="Q356" s="16"/>
      <c r="R356" s="16"/>
      <c r="S356" s="16"/>
      <c r="T356" s="16"/>
      <c r="U356" s="16"/>
      <c r="V356" s="16"/>
      <c r="W356" s="16"/>
      <c r="X356" s="16"/>
      <c r="Y356" s="16"/>
      <c r="Z356" s="17"/>
      <c r="AE356" s="345"/>
    </row>
    <row r="357" spans="1:31" s="59" customFormat="1" ht="29.25" hidden="1" customHeight="1">
      <c r="A357" s="8"/>
      <c r="B357" s="11" t="str">
        <f>+IFERROR(VLOOKUP(C357,Listas!$L$8:$M$101,2,FALSE),"")</f>
        <v>10070103</v>
      </c>
      <c r="C357" s="342" t="s">
        <v>493</v>
      </c>
      <c r="D357" s="274"/>
      <c r="E357" s="275"/>
      <c r="F357" s="357"/>
      <c r="G357" s="385"/>
      <c r="H357" s="9" t="str">
        <f>+IF(I357=""," ",VLOOKUP(I357,Listas!$I$8:$J$10,2,FALSE))</f>
        <v xml:space="preserve"> </v>
      </c>
      <c r="I357" s="495"/>
      <c r="J357" s="356" t="str">
        <f>+IF(K357=""," ",VLOOKUP(K357,PUC!$B:$C,2,FALSE))</f>
        <v xml:space="preserve"> </v>
      </c>
      <c r="K357" s="334"/>
      <c r="L357" s="11" t="str">
        <f>+IF(M357=""," ",VLOOKUP(M357,Listas!$F$9:$G$17,2,FALSE))</f>
        <v>08</v>
      </c>
      <c r="M357" s="475" t="s">
        <v>456</v>
      </c>
      <c r="N357" s="345">
        <f t="shared" si="5"/>
        <v>0</v>
      </c>
      <c r="O357" s="15"/>
      <c r="P357" s="16"/>
      <c r="Q357" s="16"/>
      <c r="R357" s="16"/>
      <c r="S357" s="16"/>
      <c r="T357" s="16"/>
      <c r="U357" s="16"/>
      <c r="V357" s="16"/>
      <c r="W357" s="16"/>
      <c r="X357" s="16"/>
      <c r="Y357" s="16"/>
      <c r="Z357" s="17"/>
      <c r="AE357" s="345"/>
    </row>
    <row r="358" spans="1:31" s="59" customFormat="1" ht="29.25" hidden="1" customHeight="1" thickBot="1">
      <c r="A358" s="8"/>
      <c r="B358" s="22" t="str">
        <f>+IFERROR(VLOOKUP(C358,Listas!$L$8:$M$101,2,FALSE),"")</f>
        <v>10070103</v>
      </c>
      <c r="C358" s="407" t="s">
        <v>493</v>
      </c>
      <c r="D358" s="278"/>
      <c r="E358" s="279"/>
      <c r="F358" s="384"/>
      <c r="G358" s="406"/>
      <c r="H358" s="21" t="str">
        <f>+IF(I358=""," ",VLOOKUP(I358,Listas!$I$8:$J$10,2,FALSE))</f>
        <v xml:space="preserve"> </v>
      </c>
      <c r="I358" s="496"/>
      <c r="J358" s="363" t="str">
        <f>+IF(K358=""," ",VLOOKUP(K358,PUC!$B:$C,2,FALSE))</f>
        <v xml:space="preserve"> </v>
      </c>
      <c r="K358" s="340"/>
      <c r="L358" s="22" t="str">
        <f>+IF(M358=""," ",VLOOKUP(M358,Listas!$F$9:$G$17,2,FALSE))</f>
        <v>08</v>
      </c>
      <c r="M358" s="476" t="s">
        <v>456</v>
      </c>
      <c r="N358" s="347">
        <f t="shared" si="5"/>
        <v>0</v>
      </c>
      <c r="O358" s="23"/>
      <c r="P358" s="24"/>
      <c r="Q358" s="24"/>
      <c r="R358" s="24"/>
      <c r="S358" s="24"/>
      <c r="T358" s="24"/>
      <c r="U358" s="24"/>
      <c r="V358" s="24"/>
      <c r="W358" s="24"/>
      <c r="X358" s="24"/>
      <c r="Y358" s="24"/>
      <c r="Z358" s="25"/>
      <c r="AE358" s="347"/>
    </row>
    <row r="359" spans="1:31" s="59" customFormat="1" ht="63.75">
      <c r="A359" s="8"/>
      <c r="B359" s="20" t="str">
        <f>+IFERROR(VLOOKUP(C359,Listas!$L$8:$M$101,2,FALSE),"")</f>
        <v>10080101</v>
      </c>
      <c r="C359" s="339" t="s">
        <v>508</v>
      </c>
      <c r="D359" s="276"/>
      <c r="E359" s="277"/>
      <c r="F359" s="630" t="s">
        <v>1228</v>
      </c>
      <c r="G359" s="386" t="s">
        <v>1229</v>
      </c>
      <c r="H359" s="18" t="str">
        <f>+IF(I359=""," ",VLOOKUP(I359,Listas!$I$8:$J$10,2,FALSE))</f>
        <v xml:space="preserve"> </v>
      </c>
      <c r="I359" s="497"/>
      <c r="J359" s="362" t="str">
        <f>+IF(K359=""," ",VLOOKUP(K359,PUC!$B:$C,2,FALSE))</f>
        <v xml:space="preserve"> </v>
      </c>
      <c r="K359" s="339"/>
      <c r="L359" s="20" t="str">
        <f>+IF(M359=""," ",VLOOKUP(M359,Listas!$F$9:$G$17,2,FALSE))</f>
        <v xml:space="preserve"> </v>
      </c>
      <c r="M359" s="477"/>
      <c r="N359" s="346">
        <f t="shared" si="5"/>
        <v>0</v>
      </c>
      <c r="O359" s="12"/>
      <c r="P359" s="13"/>
      <c r="Q359" s="13"/>
      <c r="R359" s="13"/>
      <c r="S359" s="13"/>
      <c r="T359" s="13"/>
      <c r="U359" s="13"/>
      <c r="V359" s="13"/>
      <c r="W359" s="13"/>
      <c r="X359" s="13"/>
      <c r="Y359" s="13"/>
      <c r="Z359" s="14"/>
      <c r="AE359" s="346"/>
    </row>
    <row r="360" spans="1:31" s="59" customFormat="1" ht="63.75">
      <c r="A360" s="8"/>
      <c r="B360" s="11" t="str">
        <f>+IFERROR(VLOOKUP(C360,Listas!$L$8:$M$101,2,FALSE),"")</f>
        <v>10080101</v>
      </c>
      <c r="C360" s="334" t="s">
        <v>508</v>
      </c>
      <c r="D360" s="274"/>
      <c r="E360" s="275"/>
      <c r="F360" s="628"/>
      <c r="G360" s="385" t="s">
        <v>1230</v>
      </c>
      <c r="H360" s="9" t="str">
        <f>+IF(I360=""," ",VLOOKUP(I360,Listas!$I$8:$J$10,2,FALSE))</f>
        <v xml:space="preserve"> </v>
      </c>
      <c r="I360" s="495"/>
      <c r="J360" s="356" t="str">
        <f>+IF(K360=""," ",VLOOKUP(K360,PUC!$B:$C,2,FALSE))</f>
        <v xml:space="preserve"> </v>
      </c>
      <c r="K360" s="334"/>
      <c r="L360" s="11" t="str">
        <f>+IF(M360=""," ",VLOOKUP(M360,Listas!$F$9:$G$17,2,FALSE))</f>
        <v xml:space="preserve"> </v>
      </c>
      <c r="M360" s="475"/>
      <c r="N360" s="345">
        <f t="shared" si="5"/>
        <v>0</v>
      </c>
      <c r="O360" s="15"/>
      <c r="P360" s="16"/>
      <c r="Q360" s="16"/>
      <c r="R360" s="16"/>
      <c r="S360" s="16"/>
      <c r="T360" s="16"/>
      <c r="U360" s="16"/>
      <c r="V360" s="16"/>
      <c r="W360" s="16"/>
      <c r="X360" s="16"/>
      <c r="Y360" s="16"/>
      <c r="Z360" s="17"/>
      <c r="AE360" s="345"/>
    </row>
    <row r="361" spans="1:31" s="59" customFormat="1" ht="25.5">
      <c r="A361" s="8"/>
      <c r="B361" s="11" t="str">
        <f>+IFERROR(VLOOKUP(C361,Listas!$L$8:$M$101,2,FALSE),"")</f>
        <v>10080101</v>
      </c>
      <c r="C361" s="334" t="s">
        <v>508</v>
      </c>
      <c r="D361" s="274"/>
      <c r="E361" s="275"/>
      <c r="F361" s="629"/>
      <c r="G361" s="385" t="s">
        <v>1231</v>
      </c>
      <c r="H361" s="9" t="str">
        <f>+IF(I361=""," ",VLOOKUP(I361,Listas!$I$8:$J$10,2,FALSE))</f>
        <v xml:space="preserve"> </v>
      </c>
      <c r="I361" s="495"/>
      <c r="J361" s="356" t="str">
        <f>+IF(K361=""," ",VLOOKUP(K361,PUC!$B:$C,2,FALSE))</f>
        <v xml:space="preserve"> </v>
      </c>
      <c r="K361" s="334"/>
      <c r="L361" s="11" t="str">
        <f>+IF(M361=""," ",VLOOKUP(M361,Listas!$F$9:$G$17,2,FALSE))</f>
        <v xml:space="preserve"> </v>
      </c>
      <c r="M361" s="475"/>
      <c r="N361" s="345">
        <f t="shared" si="5"/>
        <v>0</v>
      </c>
      <c r="O361" s="29"/>
      <c r="P361" s="30"/>
      <c r="Q361" s="30"/>
      <c r="R361" s="30"/>
      <c r="S361" s="30"/>
      <c r="T361" s="30"/>
      <c r="U361" s="30"/>
      <c r="V361" s="30"/>
      <c r="W361" s="30"/>
      <c r="X361" s="30"/>
      <c r="Y361" s="30"/>
      <c r="Z361" s="31"/>
      <c r="AE361" s="345"/>
    </row>
    <row r="362" spans="1:31" s="60" customFormat="1" ht="25.5">
      <c r="A362" s="8"/>
      <c r="B362" s="11" t="str">
        <f>+IFERROR(VLOOKUP(C362,Listas!$L$8:$M$101,2,FALSE),"")</f>
        <v>10080101</v>
      </c>
      <c r="C362" s="334" t="s">
        <v>508</v>
      </c>
      <c r="D362" s="274"/>
      <c r="E362" s="275"/>
      <c r="F362" s="627" t="s">
        <v>1232</v>
      </c>
      <c r="G362" s="385" t="s">
        <v>1233</v>
      </c>
      <c r="H362" s="9" t="str">
        <f>+IF(I362=""," ",VLOOKUP(I362,Listas!$I$8:$J$10,2,FALSE))</f>
        <v xml:space="preserve"> </v>
      </c>
      <c r="I362" s="495"/>
      <c r="J362" s="356" t="str">
        <f>+IF(K362=""," ",VLOOKUP(K362,PUC!$B:$C,2,FALSE))</f>
        <v xml:space="preserve"> </v>
      </c>
      <c r="K362" s="334"/>
      <c r="L362" s="11" t="str">
        <f>+IF(M362=""," ",VLOOKUP(M362,Listas!$F$9:$G$17,2,FALSE))</f>
        <v xml:space="preserve"> </v>
      </c>
      <c r="M362" s="475"/>
      <c r="N362" s="345">
        <f t="shared" si="5"/>
        <v>0</v>
      </c>
      <c r="O362" s="29"/>
      <c r="P362" s="30"/>
      <c r="Q362" s="30"/>
      <c r="R362" s="30"/>
      <c r="S362" s="30"/>
      <c r="T362" s="30"/>
      <c r="U362" s="30"/>
      <c r="V362" s="30"/>
      <c r="W362" s="30"/>
      <c r="X362" s="30"/>
      <c r="Y362" s="30"/>
      <c r="Z362" s="31"/>
      <c r="AA362" s="59"/>
      <c r="AE362" s="345"/>
    </row>
    <row r="363" spans="1:31" s="60" customFormat="1" ht="25.5">
      <c r="A363" s="8"/>
      <c r="B363" s="11" t="str">
        <f>+IFERROR(VLOOKUP(C363,Listas!$L$8:$M$101,2,FALSE),"")</f>
        <v>10080101</v>
      </c>
      <c r="C363" s="334" t="s">
        <v>508</v>
      </c>
      <c r="D363" s="274"/>
      <c r="E363" s="275"/>
      <c r="F363" s="628"/>
      <c r="G363" s="385" t="s">
        <v>1234</v>
      </c>
      <c r="H363" s="9" t="str">
        <f>+IF(I363=""," ",VLOOKUP(I363,Listas!$I$8:$J$10,2,FALSE))</f>
        <v xml:space="preserve"> </v>
      </c>
      <c r="I363" s="495"/>
      <c r="J363" s="356" t="str">
        <f>+IF(K363=""," ",VLOOKUP(K363,PUC!$B:$C,2,FALSE))</f>
        <v xml:space="preserve"> </v>
      </c>
      <c r="K363" s="334"/>
      <c r="L363" s="11" t="str">
        <f>+IF(M363=""," ",VLOOKUP(M363,Listas!$F$9:$G$17,2,FALSE))</f>
        <v xml:space="preserve"> </v>
      </c>
      <c r="M363" s="475"/>
      <c r="N363" s="345">
        <f t="shared" si="5"/>
        <v>0</v>
      </c>
      <c r="O363" s="29"/>
      <c r="P363" s="30"/>
      <c r="Q363" s="30"/>
      <c r="R363" s="30"/>
      <c r="S363" s="30"/>
      <c r="T363" s="30"/>
      <c r="U363" s="30"/>
      <c r="V363" s="30"/>
      <c r="W363" s="30"/>
      <c r="X363" s="30"/>
      <c r="Y363" s="30"/>
      <c r="Z363" s="31"/>
      <c r="AA363" s="59"/>
      <c r="AE363" s="345"/>
    </row>
    <row r="364" spans="1:31" s="60" customFormat="1" ht="75" customHeight="1">
      <c r="A364" s="8"/>
      <c r="B364" s="11" t="str">
        <f>+IFERROR(VLOOKUP(C364,Listas!$L$8:$M$101,2,FALSE),"")</f>
        <v>10080101</v>
      </c>
      <c r="C364" s="334" t="s">
        <v>508</v>
      </c>
      <c r="D364" s="274"/>
      <c r="E364" s="275"/>
      <c r="F364" s="629"/>
      <c r="G364" s="385" t="s">
        <v>1356</v>
      </c>
      <c r="H364" s="9" t="str">
        <f>+IF(I364=""," ",VLOOKUP(I364,Listas!$I$8:$J$10,2,FALSE))</f>
        <v>02</v>
      </c>
      <c r="I364" s="495" t="s">
        <v>464</v>
      </c>
      <c r="J364" s="356">
        <f>+IF(K364=""," ",VLOOKUP(K364,PUC!$B:$C,2,FALSE))</f>
        <v>6208020902</v>
      </c>
      <c r="K364" s="334" t="s">
        <v>793</v>
      </c>
      <c r="L364" s="11" t="str">
        <f>+IF(M364=""," ",VLOOKUP(M364,Listas!$F$9:$G$17,2,FALSE))</f>
        <v>10</v>
      </c>
      <c r="M364" s="475" t="s">
        <v>460</v>
      </c>
      <c r="N364" s="345">
        <f t="shared" si="5"/>
        <v>2600000</v>
      </c>
      <c r="O364" s="29"/>
      <c r="P364" s="30"/>
      <c r="Q364" s="30"/>
      <c r="R364" s="30"/>
      <c r="S364" s="30"/>
      <c r="T364" s="30"/>
      <c r="U364" s="30"/>
      <c r="V364" s="30"/>
      <c r="W364" s="30"/>
      <c r="X364" s="30"/>
      <c r="Y364" s="30"/>
      <c r="Z364" s="31"/>
      <c r="AA364" s="59"/>
      <c r="AE364" s="345">
        <v>13000000</v>
      </c>
    </row>
    <row r="365" spans="1:31" s="60" customFormat="1" ht="30" customHeight="1">
      <c r="A365" s="8"/>
      <c r="B365" s="11" t="str">
        <f>+IFERROR(VLOOKUP(C365,Listas!$L$8:$M$101,2,FALSE),"")</f>
        <v>10080101</v>
      </c>
      <c r="C365" s="334" t="s">
        <v>508</v>
      </c>
      <c r="D365" s="274"/>
      <c r="E365" s="275"/>
      <c r="F365" s="627" t="s">
        <v>1235</v>
      </c>
      <c r="G365" s="385" t="s">
        <v>1354</v>
      </c>
      <c r="H365" s="9" t="str">
        <f>+IF(I365=""," ",VLOOKUP(I365,Listas!$I$8:$J$10,2,FALSE))</f>
        <v xml:space="preserve"> </v>
      </c>
      <c r="I365" s="495"/>
      <c r="J365" s="356" t="str">
        <f>+IF(K365=""," ",VLOOKUP(K365,PUC!$B:$C,2,FALSE))</f>
        <v xml:space="preserve"> </v>
      </c>
      <c r="K365" s="334"/>
      <c r="L365" s="11" t="str">
        <f>+IF(M365=""," ",VLOOKUP(M365,Listas!$F$9:$G$17,2,FALSE))</f>
        <v xml:space="preserve"> </v>
      </c>
      <c r="M365" s="475"/>
      <c r="N365" s="345">
        <f t="shared" si="5"/>
        <v>0</v>
      </c>
      <c r="O365" s="29"/>
      <c r="P365" s="30"/>
      <c r="Q365" s="30"/>
      <c r="R365" s="30"/>
      <c r="S365" s="30"/>
      <c r="T365" s="30"/>
      <c r="U365" s="30"/>
      <c r="V365" s="30"/>
      <c r="W365" s="30"/>
      <c r="X365" s="30"/>
      <c r="Y365" s="30"/>
      <c r="Z365" s="31"/>
      <c r="AA365" s="59"/>
      <c r="AE365" s="345"/>
    </row>
    <row r="366" spans="1:31" s="60" customFormat="1" ht="38.25">
      <c r="A366" s="8"/>
      <c r="B366" s="11" t="str">
        <f>+IFERROR(VLOOKUP(C366,Listas!$L$8:$M$101,2,FALSE),"")</f>
        <v>10080101</v>
      </c>
      <c r="C366" s="334" t="s">
        <v>508</v>
      </c>
      <c r="D366" s="274"/>
      <c r="E366" s="275"/>
      <c r="F366" s="629"/>
      <c r="G366" s="385" t="s">
        <v>1236</v>
      </c>
      <c r="H366" s="9" t="str">
        <f>+IF(I366=""," ",VLOOKUP(I366,Listas!$I$8:$J$10,2,FALSE))</f>
        <v xml:space="preserve"> </v>
      </c>
      <c r="I366" s="495"/>
      <c r="J366" s="356" t="str">
        <f>+IF(K366=""," ",VLOOKUP(K366,PUC!$B:$C,2,FALSE))</f>
        <v xml:space="preserve"> </v>
      </c>
      <c r="K366" s="334"/>
      <c r="L366" s="11" t="str">
        <f>+IF(M366=""," ",VLOOKUP(M366,Listas!$F$9:$G$17,2,FALSE))</f>
        <v xml:space="preserve"> </v>
      </c>
      <c r="M366" s="475"/>
      <c r="N366" s="345">
        <f t="shared" si="5"/>
        <v>0</v>
      </c>
      <c r="O366" s="29"/>
      <c r="P366" s="30"/>
      <c r="Q366" s="30"/>
      <c r="R366" s="30"/>
      <c r="S366" s="30"/>
      <c r="T366" s="30"/>
      <c r="U366" s="30"/>
      <c r="V366" s="30"/>
      <c r="W366" s="30"/>
      <c r="X366" s="30"/>
      <c r="Y366" s="30"/>
      <c r="Z366" s="31"/>
      <c r="AA366" s="59"/>
      <c r="AE366" s="345"/>
    </row>
    <row r="367" spans="1:31" s="60" customFormat="1" ht="25.5">
      <c r="A367" s="8"/>
      <c r="B367" s="11" t="str">
        <f>+IFERROR(VLOOKUP(C367,Listas!$L$8:$M$101,2,FALSE),"")</f>
        <v>10080101</v>
      </c>
      <c r="C367" s="334" t="s">
        <v>508</v>
      </c>
      <c r="D367" s="274"/>
      <c r="E367" s="275"/>
      <c r="F367" s="357" t="s">
        <v>1237</v>
      </c>
      <c r="G367" s="385" t="s">
        <v>1238</v>
      </c>
      <c r="H367" s="9" t="str">
        <f>+IF(I367=""," ",VLOOKUP(I367,Listas!$I$8:$J$10,2,FALSE))</f>
        <v xml:space="preserve"> </v>
      </c>
      <c r="I367" s="495"/>
      <c r="J367" s="356" t="str">
        <f>+IF(K367=""," ",VLOOKUP(K367,PUC!$B:$C,2,FALSE))</f>
        <v xml:space="preserve"> </v>
      </c>
      <c r="K367" s="334"/>
      <c r="L367" s="11" t="str">
        <f>+IF(M367=""," ",VLOOKUP(M367,Listas!$F$9:$G$17,2,FALSE))</f>
        <v xml:space="preserve"> </v>
      </c>
      <c r="M367" s="475"/>
      <c r="N367" s="345">
        <f t="shared" si="5"/>
        <v>0</v>
      </c>
      <c r="O367" s="29"/>
      <c r="P367" s="30"/>
      <c r="Q367" s="30"/>
      <c r="R367" s="30"/>
      <c r="S367" s="30"/>
      <c r="T367" s="30"/>
      <c r="U367" s="30"/>
      <c r="V367" s="30"/>
      <c r="W367" s="30"/>
      <c r="X367" s="30"/>
      <c r="Y367" s="30"/>
      <c r="Z367" s="31"/>
      <c r="AA367" s="59"/>
      <c r="AE367" s="345"/>
    </row>
    <row r="368" spans="1:31" s="60" customFormat="1" ht="25.5">
      <c r="A368" s="8"/>
      <c r="B368" s="11" t="str">
        <f>+IFERROR(VLOOKUP(C368,Listas!$L$8:$M$101,2,FALSE),"")</f>
        <v>10080101</v>
      </c>
      <c r="C368" s="334" t="s">
        <v>508</v>
      </c>
      <c r="D368" s="274"/>
      <c r="E368" s="275"/>
      <c r="F368" s="357" t="s">
        <v>1239</v>
      </c>
      <c r="G368" s="385" t="s">
        <v>1240</v>
      </c>
      <c r="H368" s="9" t="str">
        <f>+IF(I368=""," ",VLOOKUP(I368,Listas!$I$8:$J$10,2,FALSE))</f>
        <v xml:space="preserve"> </v>
      </c>
      <c r="I368" s="495"/>
      <c r="J368" s="356" t="str">
        <f>+IF(K368=""," ",VLOOKUP(K368,PUC!$B:$C,2,FALSE))</f>
        <v xml:space="preserve"> </v>
      </c>
      <c r="K368" s="334"/>
      <c r="L368" s="11" t="str">
        <f>+IF(M368=""," ",VLOOKUP(M368,Listas!$F$9:$G$17,2,FALSE))</f>
        <v xml:space="preserve"> </v>
      </c>
      <c r="M368" s="475"/>
      <c r="N368" s="345">
        <f t="shared" si="5"/>
        <v>0</v>
      </c>
      <c r="O368" s="29"/>
      <c r="P368" s="30"/>
      <c r="Q368" s="30"/>
      <c r="R368" s="30"/>
      <c r="S368" s="30"/>
      <c r="T368" s="30"/>
      <c r="U368" s="30"/>
      <c r="V368" s="30"/>
      <c r="W368" s="30"/>
      <c r="X368" s="30"/>
      <c r="Y368" s="30"/>
      <c r="Z368" s="31"/>
      <c r="AA368" s="59"/>
      <c r="AE368" s="345"/>
    </row>
    <row r="369" spans="1:31" s="60" customFormat="1" ht="39" thickBot="1">
      <c r="A369" s="8"/>
      <c r="B369" s="11" t="str">
        <f>+IFERROR(VLOOKUP(C369,Listas!$L$8:$M$101,2,FALSE),"")</f>
        <v>10080101</v>
      </c>
      <c r="C369" s="334" t="s">
        <v>508</v>
      </c>
      <c r="D369" s="274"/>
      <c r="E369" s="275"/>
      <c r="F369" s="357"/>
      <c r="G369" s="385" t="s">
        <v>1333</v>
      </c>
      <c r="H369" s="9" t="str">
        <f>+IF(I369=""," ",VLOOKUP(I369,Listas!$I$8:$J$10,2,FALSE))</f>
        <v>02</v>
      </c>
      <c r="I369" s="495" t="s">
        <v>464</v>
      </c>
      <c r="J369" s="356">
        <f>+IF(K369=""," ",VLOOKUP(K369,PUC!$B:$C,2,FALSE))</f>
        <v>6208020501</v>
      </c>
      <c r="K369" s="334" t="s">
        <v>803</v>
      </c>
      <c r="L369" s="11" t="str">
        <f>+IF(M369=""," ",VLOOKUP(M369,Listas!$F$9:$G$17,2,FALSE))</f>
        <v>10</v>
      </c>
      <c r="M369" s="475" t="s">
        <v>460</v>
      </c>
      <c r="N369" s="345">
        <f t="shared" si="5"/>
        <v>900000</v>
      </c>
      <c r="O369" s="29"/>
      <c r="P369" s="30"/>
      <c r="Q369" s="30"/>
      <c r="R369" s="30"/>
      <c r="S369" s="30"/>
      <c r="T369" s="30"/>
      <c r="U369" s="30"/>
      <c r="V369" s="30"/>
      <c r="W369" s="30"/>
      <c r="X369" s="30"/>
      <c r="Y369" s="30"/>
      <c r="Z369" s="31"/>
      <c r="AA369" s="59"/>
      <c r="AE369" s="345">
        <v>4500000</v>
      </c>
    </row>
    <row r="370" spans="1:31" s="60" customFormat="1" ht="29.25" hidden="1" customHeight="1">
      <c r="A370" s="8"/>
      <c r="B370" s="11" t="str">
        <f>+IFERROR(VLOOKUP(C370,Listas!$L$8:$M$101,2,FALSE),"")</f>
        <v>10080101</v>
      </c>
      <c r="C370" s="334" t="s">
        <v>508</v>
      </c>
      <c r="D370" s="274"/>
      <c r="E370" s="275"/>
      <c r="F370" s="357"/>
      <c r="G370" s="385"/>
      <c r="H370" s="9" t="str">
        <f>+IF(I370=""," ",VLOOKUP(I370,Listas!$I$8:$J$10,2,FALSE))</f>
        <v xml:space="preserve"> </v>
      </c>
      <c r="I370" s="495"/>
      <c r="J370" s="356" t="str">
        <f>+IF(K370=""," ",VLOOKUP(K370,PUC!$B:$C,2,FALSE))</f>
        <v xml:space="preserve"> </v>
      </c>
      <c r="K370" s="334"/>
      <c r="L370" s="11" t="str">
        <f>+IF(M370=""," ",VLOOKUP(M370,Listas!$F$9:$G$17,2,FALSE))</f>
        <v xml:space="preserve"> </v>
      </c>
      <c r="M370" s="475"/>
      <c r="N370" s="345">
        <f t="shared" si="5"/>
        <v>0</v>
      </c>
      <c r="O370" s="29"/>
      <c r="P370" s="30"/>
      <c r="Q370" s="30"/>
      <c r="R370" s="30"/>
      <c r="S370" s="30"/>
      <c r="T370" s="30"/>
      <c r="U370" s="30"/>
      <c r="V370" s="30"/>
      <c r="W370" s="30"/>
      <c r="X370" s="30"/>
      <c r="Y370" s="30"/>
      <c r="Z370" s="31"/>
      <c r="AA370" s="59"/>
      <c r="AE370" s="345"/>
    </row>
    <row r="371" spans="1:31" s="60" customFormat="1" ht="29.25" hidden="1" customHeight="1" thickBot="1">
      <c r="A371" s="8"/>
      <c r="B371" s="22" t="str">
        <f>+IFERROR(VLOOKUP(C371,Listas!$L$8:$M$101,2,FALSE),"")</f>
        <v>10080101</v>
      </c>
      <c r="C371" s="340" t="s">
        <v>508</v>
      </c>
      <c r="D371" s="278"/>
      <c r="E371" s="279"/>
      <c r="F371" s="278"/>
      <c r="G371" s="279"/>
      <c r="H371" s="21" t="str">
        <f>+IF(I371=""," ",VLOOKUP(I371,Listas!$I$8:$J$10,2,FALSE))</f>
        <v xml:space="preserve"> </v>
      </c>
      <c r="I371" s="496"/>
      <c r="J371" s="363" t="str">
        <f>+IF(K371=""," ",VLOOKUP(K371,PUC!$B:$C,2,FALSE))</f>
        <v xml:space="preserve"> </v>
      </c>
      <c r="K371" s="340"/>
      <c r="L371" s="22" t="str">
        <f>+IF(M371=""," ",VLOOKUP(M371,Listas!$F$9:$G$17,2,FALSE))</f>
        <v xml:space="preserve"> </v>
      </c>
      <c r="M371" s="476"/>
      <c r="N371" s="347">
        <f t="shared" si="5"/>
        <v>0</v>
      </c>
      <c r="O371" s="23"/>
      <c r="P371" s="24"/>
      <c r="Q371" s="24"/>
      <c r="R371" s="24"/>
      <c r="S371" s="24"/>
      <c r="T371" s="24"/>
      <c r="U371" s="24"/>
      <c r="V371" s="24"/>
      <c r="W371" s="24"/>
      <c r="X371" s="24"/>
      <c r="Y371" s="24"/>
      <c r="Z371" s="25"/>
      <c r="AA371" s="59"/>
      <c r="AE371" s="347"/>
    </row>
    <row r="372" spans="1:31" s="60" customFormat="1" ht="51" customHeight="1">
      <c r="A372" s="8"/>
      <c r="B372" s="20" t="str">
        <f>+IFERROR(VLOOKUP(C372,Listas!$L$8:$M$101,2,FALSE),"")</f>
        <v>10080102</v>
      </c>
      <c r="C372" s="339" t="s">
        <v>509</v>
      </c>
      <c r="D372" s="276"/>
      <c r="E372" s="277"/>
      <c r="F372" s="630" t="s">
        <v>1241</v>
      </c>
      <c r="G372" s="386" t="s">
        <v>1242</v>
      </c>
      <c r="H372" s="18" t="str">
        <f>+IF(I372=""," ",VLOOKUP(I372,Listas!$I$8:$J$10,2,FALSE))</f>
        <v xml:space="preserve"> </v>
      </c>
      <c r="I372" s="497"/>
      <c r="J372" s="362" t="str">
        <f>+IF(K372=""," ",VLOOKUP(K372,PUC!$B:$C,2,FALSE))</f>
        <v xml:space="preserve"> </v>
      </c>
      <c r="K372" s="339"/>
      <c r="L372" s="20" t="str">
        <f>+IF(M372=""," ",VLOOKUP(M372,Listas!$F$9:$G$17,2,FALSE))</f>
        <v xml:space="preserve"> </v>
      </c>
      <c r="M372" s="477"/>
      <c r="N372" s="346">
        <f t="shared" si="5"/>
        <v>0</v>
      </c>
      <c r="O372" s="411"/>
      <c r="P372" s="412"/>
      <c r="Q372" s="412"/>
      <c r="R372" s="412"/>
      <c r="S372" s="412"/>
      <c r="T372" s="412"/>
      <c r="U372" s="412"/>
      <c r="V372" s="412"/>
      <c r="W372" s="412"/>
      <c r="X372" s="412"/>
      <c r="Y372" s="412"/>
      <c r="Z372" s="413"/>
      <c r="AA372" s="59"/>
      <c r="AE372" s="346"/>
    </row>
    <row r="373" spans="1:31" s="60" customFormat="1" ht="29.25" customHeight="1">
      <c r="A373" s="8"/>
      <c r="B373" s="11" t="str">
        <f>+IFERROR(VLOOKUP(C373,Listas!$L$8:$M$101,2,FALSE),"")</f>
        <v>10080102</v>
      </c>
      <c r="C373" s="334" t="s">
        <v>509</v>
      </c>
      <c r="D373" s="274"/>
      <c r="E373" s="275"/>
      <c r="F373" s="628"/>
      <c r="G373" s="385" t="s">
        <v>1369</v>
      </c>
      <c r="H373" s="9" t="str">
        <f>+IF(I373=""," ",VLOOKUP(I373,Listas!$I$8:$J$10,2,FALSE))</f>
        <v>02</v>
      </c>
      <c r="I373" s="495" t="s">
        <v>464</v>
      </c>
      <c r="J373" s="356">
        <f>+IF(K373=""," ",VLOOKUP(K373,PUC!$B:$C,2,FALSE))</f>
        <v>6208020501</v>
      </c>
      <c r="K373" s="334" t="s">
        <v>803</v>
      </c>
      <c r="L373" s="11" t="str">
        <f>+IF(M373=""," ",VLOOKUP(M373,Listas!$F$9:$G$17,2,FALSE))</f>
        <v>02</v>
      </c>
      <c r="M373" s="475" t="s">
        <v>444</v>
      </c>
      <c r="N373" s="345">
        <f t="shared" si="5"/>
        <v>6048000</v>
      </c>
      <c r="O373" s="29"/>
      <c r="P373" s="30"/>
      <c r="Q373" s="30"/>
      <c r="R373" s="30"/>
      <c r="S373" s="30"/>
      <c r="T373" s="30"/>
      <c r="U373" s="30"/>
      <c r="V373" s="30"/>
      <c r="W373" s="30"/>
      <c r="X373" s="30"/>
      <c r="Y373" s="30"/>
      <c r="Z373" s="31"/>
      <c r="AA373" s="59">
        <v>20</v>
      </c>
      <c r="AE373" s="345">
        <f>+MROUND((576000*1.05*2.5*AA373),1000)</f>
        <v>30240000</v>
      </c>
    </row>
    <row r="374" spans="1:31" s="60" customFormat="1" ht="29.25" customHeight="1">
      <c r="A374" s="8"/>
      <c r="B374" s="33" t="str">
        <f>+IFERROR(VLOOKUP(C374,Listas!$L$8:$M$101,2,FALSE),"")</f>
        <v>10080102</v>
      </c>
      <c r="C374" s="342" t="s">
        <v>509</v>
      </c>
      <c r="D374" s="274"/>
      <c r="E374" s="275"/>
      <c r="F374" s="628"/>
      <c r="G374" s="385" t="s">
        <v>1369</v>
      </c>
      <c r="H374" s="9" t="str">
        <f>+IF(I374=""," ",VLOOKUP(I374,Listas!$I$8:$J$10,2,FALSE))</f>
        <v>02</v>
      </c>
      <c r="I374" s="495" t="s">
        <v>464</v>
      </c>
      <c r="J374" s="356">
        <f>+IF(K374=""," ",VLOOKUP(K374,PUC!$B:$C,2,FALSE))</f>
        <v>6208020505</v>
      </c>
      <c r="K374" s="334" t="s">
        <v>804</v>
      </c>
      <c r="L374" s="11" t="str">
        <f>+IF(M374=""," ",VLOOKUP(M374,Listas!$F$9:$G$17,2,FALSE))</f>
        <v>02</v>
      </c>
      <c r="M374" s="475" t="s">
        <v>444</v>
      </c>
      <c r="N374" s="345">
        <f t="shared" si="5"/>
        <v>83000</v>
      </c>
      <c r="O374" s="29"/>
      <c r="P374" s="30"/>
      <c r="Q374" s="30"/>
      <c r="R374" s="30"/>
      <c r="S374" s="30"/>
      <c r="T374" s="30"/>
      <c r="U374" s="30"/>
      <c r="V374" s="30"/>
      <c r="W374" s="30"/>
      <c r="X374" s="30"/>
      <c r="Y374" s="30"/>
      <c r="Z374" s="31"/>
      <c r="AA374" s="59"/>
      <c r="AE374" s="345">
        <f>138000*3</f>
        <v>414000</v>
      </c>
    </row>
    <row r="375" spans="1:31" s="60" customFormat="1" ht="29.25" customHeight="1">
      <c r="A375" s="8"/>
      <c r="B375" s="11" t="str">
        <f>+IFERROR(VLOOKUP(C375,Listas!$L$8:$M$101,2,FALSE),"")</f>
        <v>10080102</v>
      </c>
      <c r="C375" s="334" t="s">
        <v>509</v>
      </c>
      <c r="D375" s="274"/>
      <c r="E375" s="275"/>
      <c r="F375" s="628"/>
      <c r="G375" s="385" t="s">
        <v>1369</v>
      </c>
      <c r="H375" s="9" t="str">
        <f>+IF(I375=""," ",VLOOKUP(I375,Listas!$I$8:$J$10,2,FALSE))</f>
        <v>02</v>
      </c>
      <c r="I375" s="495" t="s">
        <v>464</v>
      </c>
      <c r="J375" s="356">
        <f>+IF(K375=""," ",VLOOKUP(K375,PUC!$B:$C,2,FALSE))</f>
        <v>6208020503</v>
      </c>
      <c r="K375" s="334" t="s">
        <v>805</v>
      </c>
      <c r="L375" s="11" t="str">
        <f>+IF(M375=""," ",VLOOKUP(M375,Listas!$F$9:$G$17,2,FALSE))</f>
        <v>02</v>
      </c>
      <c r="M375" s="475" t="s">
        <v>444</v>
      </c>
      <c r="N375" s="345">
        <f t="shared" si="5"/>
        <v>1600000</v>
      </c>
      <c r="O375" s="29"/>
      <c r="P375" s="30"/>
      <c r="Q375" s="30"/>
      <c r="R375" s="30"/>
      <c r="S375" s="30"/>
      <c r="T375" s="30"/>
      <c r="U375" s="30"/>
      <c r="V375" s="30"/>
      <c r="W375" s="30"/>
      <c r="X375" s="30"/>
      <c r="Y375" s="30"/>
      <c r="Z375" s="31"/>
      <c r="AA375" s="59"/>
      <c r="AE375" s="345">
        <f>AA373*400000</f>
        <v>8000000</v>
      </c>
    </row>
    <row r="376" spans="1:31" s="60" customFormat="1" ht="29.25" customHeight="1">
      <c r="A376" s="8"/>
      <c r="B376" s="33" t="str">
        <f>+IFERROR(VLOOKUP(C376,Listas!$L$8:$M$101,2,FALSE),"")</f>
        <v>10080102</v>
      </c>
      <c r="C376" s="342" t="s">
        <v>509</v>
      </c>
      <c r="D376" s="274"/>
      <c r="E376" s="275"/>
      <c r="F376" s="628"/>
      <c r="G376" s="385" t="s">
        <v>1369</v>
      </c>
      <c r="H376" s="9" t="str">
        <f>+IF(I376=""," ",VLOOKUP(I376,Listas!$I$8:$J$10,2,FALSE))</f>
        <v>04</v>
      </c>
      <c r="I376" s="495" t="s">
        <v>466</v>
      </c>
      <c r="J376" s="356">
        <f>+IF(K376=""," ",VLOOKUP(K376,PUC!$B:$C,2,FALSE))</f>
        <v>6208100302</v>
      </c>
      <c r="K376" s="334" t="s">
        <v>975</v>
      </c>
      <c r="L376" s="11" t="str">
        <f>+IF(M376=""," ",VLOOKUP(M376,Listas!$F$9:$G$17,2,FALSE))</f>
        <v>02</v>
      </c>
      <c r="M376" s="475" t="s">
        <v>444</v>
      </c>
      <c r="N376" s="345">
        <f t="shared" si="5"/>
        <v>960000</v>
      </c>
      <c r="O376" s="29"/>
      <c r="P376" s="30"/>
      <c r="Q376" s="30"/>
      <c r="R376" s="30"/>
      <c r="S376" s="30"/>
      <c r="T376" s="30"/>
      <c r="U376" s="30"/>
      <c r="V376" s="30"/>
      <c r="W376" s="30"/>
      <c r="X376" s="30"/>
      <c r="Y376" s="30"/>
      <c r="Z376" s="31"/>
      <c r="AA376" s="59"/>
      <c r="AE376" s="345">
        <f>8*600000</f>
        <v>4800000</v>
      </c>
    </row>
    <row r="377" spans="1:31" s="60" customFormat="1" ht="29.25" customHeight="1">
      <c r="A377" s="8"/>
      <c r="B377" s="11" t="str">
        <f>+IFERROR(VLOOKUP(C377,Listas!$L$8:$M$101,2,FALSE),"")</f>
        <v>10080102</v>
      </c>
      <c r="C377" s="334" t="s">
        <v>509</v>
      </c>
      <c r="D377" s="274"/>
      <c r="E377" s="275"/>
      <c r="F377" s="628"/>
      <c r="G377" s="385"/>
      <c r="H377" s="9" t="str">
        <f>+IF(I377=""," ",VLOOKUP(I377,Listas!$I$8:$J$10,2,FALSE))</f>
        <v xml:space="preserve"> </v>
      </c>
      <c r="I377" s="495"/>
      <c r="J377" s="356" t="str">
        <f>+IF(K377=""," ",VLOOKUP(K377,PUC!$B:$C,2,FALSE))</f>
        <v xml:space="preserve"> </v>
      </c>
      <c r="K377" s="334"/>
      <c r="L377" s="11" t="str">
        <f>+IF(M377=""," ",VLOOKUP(M377,Listas!$F$9:$G$17,2,FALSE))</f>
        <v xml:space="preserve"> </v>
      </c>
      <c r="M377" s="475"/>
      <c r="N377" s="345">
        <f t="shared" si="5"/>
        <v>0</v>
      </c>
      <c r="O377" s="29"/>
      <c r="P377" s="30"/>
      <c r="Q377" s="30"/>
      <c r="R377" s="30"/>
      <c r="S377" s="30"/>
      <c r="T377" s="30"/>
      <c r="U377" s="30"/>
      <c r="V377" s="30"/>
      <c r="W377" s="30"/>
      <c r="X377" s="30"/>
      <c r="Y377" s="30"/>
      <c r="Z377" s="31"/>
      <c r="AA377" s="59"/>
      <c r="AE377" s="345"/>
    </row>
    <row r="378" spans="1:31" s="60" customFormat="1" ht="29.25" customHeight="1">
      <c r="A378" s="8"/>
      <c r="B378" s="33" t="str">
        <f>+IFERROR(VLOOKUP(C378,Listas!$L$8:$M$101,2,FALSE),"")</f>
        <v>10080102</v>
      </c>
      <c r="C378" s="342" t="s">
        <v>509</v>
      </c>
      <c r="D378" s="274"/>
      <c r="E378" s="275"/>
      <c r="F378" s="628"/>
      <c r="G378" s="385" t="s">
        <v>1370</v>
      </c>
      <c r="H378" s="9" t="str">
        <f>+IF(I378=""," ",VLOOKUP(I378,Listas!$I$8:$J$10,2,FALSE))</f>
        <v>02</v>
      </c>
      <c r="I378" s="495" t="s">
        <v>464</v>
      </c>
      <c r="J378" s="356">
        <f>+IF(K378=""," ",VLOOKUP(K378,PUC!$B:$C,2,FALSE))</f>
        <v>6208020501</v>
      </c>
      <c r="K378" s="334" t="s">
        <v>803</v>
      </c>
      <c r="L378" s="11" t="str">
        <f>+IF(M378=""," ",VLOOKUP(M378,Listas!$F$9:$G$17,2,FALSE))</f>
        <v>02</v>
      </c>
      <c r="M378" s="475" t="s">
        <v>444</v>
      </c>
      <c r="N378" s="345">
        <f t="shared" si="5"/>
        <v>1218000</v>
      </c>
      <c r="O378" s="29"/>
      <c r="P378" s="30"/>
      <c r="Q378" s="30"/>
      <c r="R378" s="30"/>
      <c r="S378" s="30"/>
      <c r="T378" s="30"/>
      <c r="U378" s="30"/>
      <c r="V378" s="30"/>
      <c r="W378" s="30"/>
      <c r="X378" s="30"/>
      <c r="Y378" s="30"/>
      <c r="Z378" s="31"/>
      <c r="AA378" s="59">
        <v>8</v>
      </c>
      <c r="AE378" s="345">
        <f>+MROUND((290000*1.05*2.5*AA378),1000)</f>
        <v>6090000</v>
      </c>
    </row>
    <row r="379" spans="1:31" s="60" customFormat="1" ht="29.25" customHeight="1">
      <c r="A379" s="8"/>
      <c r="B379" s="11" t="str">
        <f>+IFERROR(VLOOKUP(C379,Listas!$L$8:$M$101,2,FALSE),"")</f>
        <v>10080102</v>
      </c>
      <c r="C379" s="334" t="s">
        <v>509</v>
      </c>
      <c r="D379" s="274"/>
      <c r="E379" s="275"/>
      <c r="F379" s="628"/>
      <c r="G379" s="385" t="s">
        <v>1370</v>
      </c>
      <c r="H379" s="9" t="str">
        <f>+IF(I379=""," ",VLOOKUP(I379,Listas!$I$8:$J$10,2,FALSE))</f>
        <v>02</v>
      </c>
      <c r="I379" s="495" t="s">
        <v>464</v>
      </c>
      <c r="J379" s="356">
        <f>+IF(K379=""," ",VLOOKUP(K379,PUC!$B:$C,2,FALSE))</f>
        <v>6208020505</v>
      </c>
      <c r="K379" s="334" t="s">
        <v>804</v>
      </c>
      <c r="L379" s="11" t="str">
        <f>+IF(M379=""," ",VLOOKUP(M379,Listas!$F$9:$G$17,2,FALSE))</f>
        <v>02</v>
      </c>
      <c r="M379" s="475" t="s">
        <v>444</v>
      </c>
      <c r="N379" s="345">
        <f t="shared" si="5"/>
        <v>83000</v>
      </c>
      <c r="O379" s="29"/>
      <c r="P379" s="30"/>
      <c r="Q379" s="30"/>
      <c r="R379" s="30"/>
      <c r="S379" s="30"/>
      <c r="T379" s="30"/>
      <c r="U379" s="30"/>
      <c r="V379" s="30"/>
      <c r="W379" s="30"/>
      <c r="X379" s="30"/>
      <c r="Y379" s="30"/>
      <c r="Z379" s="31"/>
      <c r="AA379" s="59"/>
      <c r="AE379" s="345">
        <f>138000*3</f>
        <v>414000</v>
      </c>
    </row>
    <row r="380" spans="1:31" s="60" customFormat="1" ht="29.25" customHeight="1">
      <c r="A380" s="8"/>
      <c r="B380" s="33" t="str">
        <f>+IFERROR(VLOOKUP(C380,Listas!$L$8:$M$101,2,FALSE),"")</f>
        <v>10080102</v>
      </c>
      <c r="C380" s="342" t="s">
        <v>509</v>
      </c>
      <c r="D380" s="274"/>
      <c r="E380" s="275"/>
      <c r="F380" s="628"/>
      <c r="G380" s="385" t="s">
        <v>1370</v>
      </c>
      <c r="H380" s="9" t="str">
        <f>+IF(I380=""," ",VLOOKUP(I380,Listas!$I$8:$J$10,2,FALSE))</f>
        <v>02</v>
      </c>
      <c r="I380" s="495" t="s">
        <v>464</v>
      </c>
      <c r="J380" s="356">
        <f>+IF(K380=""," ",VLOOKUP(K380,PUC!$B:$C,2,FALSE))</f>
        <v>6208020503</v>
      </c>
      <c r="K380" s="334" t="s">
        <v>805</v>
      </c>
      <c r="L380" s="11" t="str">
        <f>+IF(M380=""," ",VLOOKUP(M380,Listas!$F$9:$G$17,2,FALSE))</f>
        <v>02</v>
      </c>
      <c r="M380" s="475" t="s">
        <v>444</v>
      </c>
      <c r="N380" s="345">
        <f t="shared" si="5"/>
        <v>640000</v>
      </c>
      <c r="O380" s="29"/>
      <c r="P380" s="30"/>
      <c r="Q380" s="30"/>
      <c r="R380" s="30"/>
      <c r="S380" s="30"/>
      <c r="T380" s="30"/>
      <c r="U380" s="30"/>
      <c r="V380" s="30"/>
      <c r="W380" s="30"/>
      <c r="X380" s="30"/>
      <c r="Y380" s="30"/>
      <c r="Z380" s="31"/>
      <c r="AA380" s="59"/>
      <c r="AE380" s="345">
        <f>AA378*400000</f>
        <v>3200000</v>
      </c>
    </row>
    <row r="381" spans="1:31" s="60" customFormat="1" ht="29.25" customHeight="1">
      <c r="A381" s="8"/>
      <c r="B381" s="11" t="str">
        <f>+IFERROR(VLOOKUP(C381,Listas!$L$8:$M$101,2,FALSE),"")</f>
        <v>10080102</v>
      </c>
      <c r="C381" s="334" t="s">
        <v>509</v>
      </c>
      <c r="D381" s="274"/>
      <c r="E381" s="275"/>
      <c r="F381" s="628"/>
      <c r="G381" s="385" t="s">
        <v>1370</v>
      </c>
      <c r="H381" s="9" t="str">
        <f>+IF(I381=""," ",VLOOKUP(I381,Listas!$I$8:$J$10,2,FALSE))</f>
        <v>04</v>
      </c>
      <c r="I381" s="495" t="s">
        <v>466</v>
      </c>
      <c r="J381" s="356">
        <f>+IF(K381=""," ",VLOOKUP(K381,PUC!$B:$C,2,FALSE))</f>
        <v>6208022101</v>
      </c>
      <c r="K381" s="334" t="s">
        <v>976</v>
      </c>
      <c r="L381" s="11" t="str">
        <f>+IF(M381=""," ",VLOOKUP(M381,Listas!$F$9:$G$17,2,FALSE))</f>
        <v>02</v>
      </c>
      <c r="M381" s="475" t="s">
        <v>444</v>
      </c>
      <c r="N381" s="345">
        <f t="shared" si="5"/>
        <v>960000</v>
      </c>
      <c r="O381" s="29"/>
      <c r="P381" s="30"/>
      <c r="Q381" s="30"/>
      <c r="R381" s="30"/>
      <c r="S381" s="30"/>
      <c r="T381" s="30"/>
      <c r="U381" s="30"/>
      <c r="V381" s="30"/>
      <c r="W381" s="30"/>
      <c r="X381" s="30"/>
      <c r="Y381" s="30"/>
      <c r="Z381" s="31"/>
      <c r="AA381" s="59"/>
      <c r="AE381" s="345">
        <f>8*600000</f>
        <v>4800000</v>
      </c>
    </row>
    <row r="382" spans="1:31" s="60" customFormat="1" ht="29.25" customHeight="1">
      <c r="A382" s="8"/>
      <c r="B382" s="33" t="str">
        <f>+IFERROR(VLOOKUP(C382,Listas!$L$8:$M$101,2,FALSE),"")</f>
        <v>10080102</v>
      </c>
      <c r="C382" s="342" t="s">
        <v>509</v>
      </c>
      <c r="D382" s="274"/>
      <c r="E382" s="275"/>
      <c r="F382" s="628"/>
      <c r="G382" s="385"/>
      <c r="H382" s="9" t="str">
        <f>+IF(I382=""," ",VLOOKUP(I382,Listas!$I$8:$J$10,2,FALSE))</f>
        <v xml:space="preserve"> </v>
      </c>
      <c r="I382" s="495"/>
      <c r="J382" s="356" t="str">
        <f>+IF(K382=""," ",VLOOKUP(K382,PUC!$B:$C,2,FALSE))</f>
        <v xml:space="preserve"> </v>
      </c>
      <c r="K382" s="334"/>
      <c r="L382" s="11" t="str">
        <f>+IF(M382=""," ",VLOOKUP(M382,Listas!$F$9:$G$17,2,FALSE))</f>
        <v xml:space="preserve"> </v>
      </c>
      <c r="M382" s="475"/>
      <c r="N382" s="345">
        <f t="shared" si="5"/>
        <v>0</v>
      </c>
      <c r="O382" s="29"/>
      <c r="P382" s="30"/>
      <c r="Q382" s="30"/>
      <c r="R382" s="30"/>
      <c r="S382" s="30"/>
      <c r="T382" s="30"/>
      <c r="U382" s="30"/>
      <c r="V382" s="30"/>
      <c r="W382" s="30"/>
      <c r="X382" s="30"/>
      <c r="Y382" s="30"/>
      <c r="Z382" s="31"/>
      <c r="AA382" s="59"/>
      <c r="AE382" s="345"/>
    </row>
    <row r="383" spans="1:31" s="60" customFormat="1" ht="38.25">
      <c r="A383" s="8"/>
      <c r="B383" s="11" t="str">
        <f>+IFERROR(VLOOKUP(C383,Listas!$L$8:$M$101,2,FALSE),"")</f>
        <v>10080102</v>
      </c>
      <c r="C383" s="334" t="s">
        <v>509</v>
      </c>
      <c r="D383" s="274"/>
      <c r="E383" s="275"/>
      <c r="F383" s="629"/>
      <c r="G383" s="385" t="s">
        <v>1243</v>
      </c>
      <c r="H383" s="9" t="str">
        <f>+IF(I383=""," ",VLOOKUP(I383,Listas!$I$8:$J$10,2,FALSE))</f>
        <v xml:space="preserve"> </v>
      </c>
      <c r="I383" s="495"/>
      <c r="J383" s="356" t="str">
        <f>+IF(K383=""," ",VLOOKUP(K383,PUC!$B:$C,2,FALSE))</f>
        <v xml:space="preserve"> </v>
      </c>
      <c r="K383" s="334"/>
      <c r="L383" s="11" t="str">
        <f>+IF(M383=""," ",VLOOKUP(M383,Listas!$F$9:$G$17,2,FALSE))</f>
        <v xml:space="preserve"> </v>
      </c>
      <c r="M383" s="475"/>
      <c r="N383" s="345">
        <f t="shared" si="5"/>
        <v>0</v>
      </c>
      <c r="O383" s="29"/>
      <c r="P383" s="30"/>
      <c r="Q383" s="30"/>
      <c r="R383" s="30"/>
      <c r="S383" s="30"/>
      <c r="T383" s="30"/>
      <c r="U383" s="30"/>
      <c r="V383" s="30"/>
      <c r="W383" s="30"/>
      <c r="X383" s="30"/>
      <c r="Y383" s="30"/>
      <c r="Z383" s="31"/>
      <c r="AA383" s="59"/>
      <c r="AE383" s="345"/>
    </row>
    <row r="384" spans="1:31" s="60" customFormat="1" ht="29.25" customHeight="1">
      <c r="A384" s="8"/>
      <c r="B384" s="33" t="str">
        <f>+IFERROR(VLOOKUP(C384,Listas!$L$8:$M$101,2,FALSE),"")</f>
        <v>10080102</v>
      </c>
      <c r="C384" s="342" t="s">
        <v>509</v>
      </c>
      <c r="D384" s="274"/>
      <c r="E384" s="275"/>
      <c r="F384" s="627" t="s">
        <v>1244</v>
      </c>
      <c r="G384" s="385" t="s">
        <v>1245</v>
      </c>
      <c r="H384" s="9" t="str">
        <f>+IF(I384=""," ",VLOOKUP(I384,Listas!$I$8:$J$10,2,FALSE))</f>
        <v xml:space="preserve"> </v>
      </c>
      <c r="I384" s="495"/>
      <c r="J384" s="356" t="str">
        <f>+IF(K384=""," ",VLOOKUP(K384,PUC!$B:$C,2,FALSE))</f>
        <v xml:space="preserve"> </v>
      </c>
      <c r="K384" s="334"/>
      <c r="L384" s="11" t="str">
        <f>+IF(M384=""," ",VLOOKUP(M384,Listas!$F$9:$G$17,2,FALSE))</f>
        <v xml:space="preserve"> </v>
      </c>
      <c r="M384" s="475"/>
      <c r="N384" s="345">
        <f t="shared" si="5"/>
        <v>0</v>
      </c>
      <c r="O384" s="29"/>
      <c r="P384" s="30"/>
      <c r="Q384" s="30"/>
      <c r="R384" s="30"/>
      <c r="S384" s="30"/>
      <c r="T384" s="30"/>
      <c r="U384" s="30"/>
      <c r="V384" s="30"/>
      <c r="W384" s="30"/>
      <c r="X384" s="30"/>
      <c r="Y384" s="30"/>
      <c r="Z384" s="31"/>
      <c r="AA384" s="59"/>
      <c r="AE384" s="345"/>
    </row>
    <row r="385" spans="1:31" s="60" customFormat="1" ht="29.25" customHeight="1">
      <c r="A385" s="8"/>
      <c r="B385" s="11" t="str">
        <f>+IFERROR(VLOOKUP(C385,Listas!$L$8:$M$101,2,FALSE),"")</f>
        <v>10080102</v>
      </c>
      <c r="C385" s="334" t="s">
        <v>509</v>
      </c>
      <c r="D385" s="274"/>
      <c r="E385" s="275"/>
      <c r="F385" s="628"/>
      <c r="G385" s="385" t="s">
        <v>1246</v>
      </c>
      <c r="H385" s="9" t="str">
        <f>+IF(I385=""," ",VLOOKUP(I385,Listas!$I$8:$J$10,2,FALSE))</f>
        <v xml:space="preserve"> </v>
      </c>
      <c r="I385" s="495"/>
      <c r="J385" s="356" t="str">
        <f>+IF(K385=""," ",VLOOKUP(K385,PUC!$B:$C,2,FALSE))</f>
        <v xml:space="preserve"> </v>
      </c>
      <c r="K385" s="334"/>
      <c r="L385" s="11" t="str">
        <f>+IF(M385=""," ",VLOOKUP(M385,Listas!$F$9:$G$17,2,FALSE))</f>
        <v xml:space="preserve"> </v>
      </c>
      <c r="M385" s="475"/>
      <c r="N385" s="345">
        <f t="shared" si="5"/>
        <v>0</v>
      </c>
      <c r="O385" s="29"/>
      <c r="P385" s="30"/>
      <c r="Q385" s="30"/>
      <c r="R385" s="30"/>
      <c r="S385" s="30"/>
      <c r="T385" s="30"/>
      <c r="U385" s="30"/>
      <c r="V385" s="30"/>
      <c r="W385" s="30"/>
      <c r="X385" s="30"/>
      <c r="Y385" s="30"/>
      <c r="Z385" s="31"/>
      <c r="AA385" s="59"/>
      <c r="AE385" s="345"/>
    </row>
    <row r="386" spans="1:31" s="60" customFormat="1" ht="63.75" customHeight="1">
      <c r="A386" s="8"/>
      <c r="B386" s="33" t="str">
        <f>+IFERROR(VLOOKUP(C386,Listas!$L$8:$M$101,2,FALSE),"")</f>
        <v>10080102</v>
      </c>
      <c r="C386" s="342" t="s">
        <v>509</v>
      </c>
      <c r="D386" s="274"/>
      <c r="E386" s="275"/>
      <c r="F386" s="628"/>
      <c r="G386" s="387" t="s">
        <v>1255</v>
      </c>
      <c r="H386" s="377" t="str">
        <f>+IF(I386=""," ",VLOOKUP(I386,Listas!$I$8:$J$10,2,FALSE))</f>
        <v>02</v>
      </c>
      <c r="I386" s="498" t="s">
        <v>464</v>
      </c>
      <c r="J386" s="378">
        <f>+IF(K386=""," ",VLOOKUP(K386,PUC!$B:$C,2,FALSE))</f>
        <v>6208020203</v>
      </c>
      <c r="K386" s="379" t="s">
        <v>811</v>
      </c>
      <c r="L386" s="380" t="str">
        <f>+IF(M386=""," ",VLOOKUP(M386,Listas!$F$9:$G$17,2,FALSE))</f>
        <v>02</v>
      </c>
      <c r="M386" s="478" t="s">
        <v>444</v>
      </c>
      <c r="N386" s="381">
        <v>9728000</v>
      </c>
      <c r="O386" s="29"/>
      <c r="P386" s="30"/>
      <c r="Q386" s="30"/>
      <c r="R386" s="30"/>
      <c r="S386" s="30"/>
      <c r="T386" s="30"/>
      <c r="U386" s="30"/>
      <c r="V386" s="30"/>
      <c r="W386" s="30"/>
      <c r="X386" s="30"/>
      <c r="Y386" s="30"/>
      <c r="Z386" s="31"/>
      <c r="AA386" s="59"/>
    </row>
    <row r="387" spans="1:31" s="60" customFormat="1" ht="29.25" customHeight="1">
      <c r="A387" s="8"/>
      <c r="B387" s="11" t="str">
        <f>+IFERROR(VLOOKUP(C387,Listas!$L$8:$M$101,2,FALSE),"")</f>
        <v>10080102</v>
      </c>
      <c r="C387" s="334" t="s">
        <v>509</v>
      </c>
      <c r="D387" s="274"/>
      <c r="E387" s="275"/>
      <c r="F387" s="628"/>
      <c r="G387" s="385" t="s">
        <v>1247</v>
      </c>
      <c r="H387" s="9" t="str">
        <f>+IF(I387=""," ",VLOOKUP(I387,Listas!$I$8:$J$10,2,FALSE))</f>
        <v xml:space="preserve"> </v>
      </c>
      <c r="I387" s="495"/>
      <c r="J387" s="356" t="str">
        <f>+IF(K387=""," ",VLOOKUP(K387,PUC!$B:$C,2,FALSE))</f>
        <v xml:space="preserve"> </v>
      </c>
      <c r="K387" s="334"/>
      <c r="L387" s="11" t="str">
        <f>+IF(M387=""," ",VLOOKUP(M387,Listas!$F$9:$G$17,2,FALSE))</f>
        <v xml:space="preserve"> </v>
      </c>
      <c r="M387" s="475"/>
      <c r="N387" s="345">
        <f t="shared" si="5"/>
        <v>0</v>
      </c>
      <c r="O387" s="29"/>
      <c r="P387" s="30"/>
      <c r="Q387" s="30"/>
      <c r="R387" s="30"/>
      <c r="S387" s="30"/>
      <c r="T387" s="30"/>
      <c r="U387" s="30"/>
      <c r="V387" s="30"/>
      <c r="W387" s="30"/>
      <c r="X387" s="30"/>
      <c r="Y387" s="30"/>
      <c r="Z387" s="31"/>
      <c r="AA387" s="59"/>
      <c r="AE387" s="345"/>
    </row>
    <row r="388" spans="1:31" s="60" customFormat="1" ht="38.25">
      <c r="A388" s="8"/>
      <c r="B388" s="33" t="str">
        <f>+IFERROR(VLOOKUP(C388,Listas!$L$8:$M$101,2,FALSE),"")</f>
        <v>10080102</v>
      </c>
      <c r="C388" s="342" t="s">
        <v>509</v>
      </c>
      <c r="D388" s="274"/>
      <c r="E388" s="275"/>
      <c r="F388" s="628"/>
      <c r="G388" s="385" t="s">
        <v>1248</v>
      </c>
      <c r="H388" s="9" t="str">
        <f>+IF(I388=""," ",VLOOKUP(I388,Listas!$I$8:$J$10,2,FALSE))</f>
        <v xml:space="preserve"> </v>
      </c>
      <c r="I388" s="495"/>
      <c r="J388" s="356" t="str">
        <f>+IF(K388=""," ",VLOOKUP(K388,PUC!$B:$C,2,FALSE))</f>
        <v xml:space="preserve"> </v>
      </c>
      <c r="K388" s="334"/>
      <c r="L388" s="11" t="str">
        <f>+IF(M388=""," ",VLOOKUP(M388,Listas!$F$9:$G$17,2,FALSE))</f>
        <v xml:space="preserve"> </v>
      </c>
      <c r="M388" s="475"/>
      <c r="N388" s="345">
        <f t="shared" si="5"/>
        <v>0</v>
      </c>
      <c r="O388" s="29"/>
      <c r="P388" s="30"/>
      <c r="Q388" s="30"/>
      <c r="R388" s="30"/>
      <c r="S388" s="30"/>
      <c r="T388" s="30"/>
      <c r="U388" s="30"/>
      <c r="V388" s="30"/>
      <c r="W388" s="30"/>
      <c r="X388" s="30"/>
      <c r="Y388" s="30"/>
      <c r="Z388" s="31"/>
      <c r="AA388" s="59"/>
      <c r="AE388" s="345"/>
    </row>
    <row r="389" spans="1:31" s="60" customFormat="1" ht="29.25" customHeight="1">
      <c r="A389" s="8"/>
      <c r="B389" s="11" t="str">
        <f>+IFERROR(VLOOKUP(C389,Listas!$L$8:$M$101,2,FALSE),"")</f>
        <v>10080102</v>
      </c>
      <c r="C389" s="334" t="s">
        <v>509</v>
      </c>
      <c r="D389" s="274"/>
      <c r="E389" s="275"/>
      <c r="F389" s="629"/>
      <c r="G389" s="385" t="s">
        <v>1249</v>
      </c>
      <c r="H389" s="9" t="str">
        <f>+IF(I389=""," ",VLOOKUP(I389,Listas!$I$8:$J$10,2,FALSE))</f>
        <v xml:space="preserve"> </v>
      </c>
      <c r="I389" s="495"/>
      <c r="J389" s="356" t="str">
        <f>+IF(K389=""," ",VLOOKUP(K389,PUC!$B:$C,2,FALSE))</f>
        <v xml:space="preserve"> </v>
      </c>
      <c r="K389" s="334"/>
      <c r="L389" s="11" t="str">
        <f>+IF(M389=""," ",VLOOKUP(M389,Listas!$F$9:$G$17,2,FALSE))</f>
        <v xml:space="preserve"> </v>
      </c>
      <c r="M389" s="475"/>
      <c r="N389" s="345">
        <f t="shared" si="5"/>
        <v>0</v>
      </c>
      <c r="O389" s="29"/>
      <c r="P389" s="30"/>
      <c r="Q389" s="30"/>
      <c r="R389" s="30"/>
      <c r="S389" s="30"/>
      <c r="T389" s="30"/>
      <c r="U389" s="30"/>
      <c r="V389" s="30"/>
      <c r="W389" s="30"/>
      <c r="X389" s="30"/>
      <c r="Y389" s="30"/>
      <c r="Z389" s="31"/>
      <c r="AA389" s="59"/>
      <c r="AE389" s="345"/>
    </row>
    <row r="390" spans="1:31" s="60" customFormat="1" ht="29.25" customHeight="1">
      <c r="A390" s="8"/>
      <c r="B390" s="33" t="str">
        <f>+IFERROR(VLOOKUP(C390,Listas!$L$8:$M$101,2,FALSE),"")</f>
        <v>10080102</v>
      </c>
      <c r="C390" s="342" t="s">
        <v>509</v>
      </c>
      <c r="D390" s="274"/>
      <c r="E390" s="275"/>
      <c r="F390" s="357" t="s">
        <v>1250</v>
      </c>
      <c r="G390" s="385" t="s">
        <v>1251</v>
      </c>
      <c r="H390" s="9" t="str">
        <f>+IF(I390=""," ",VLOOKUP(I390,Listas!$I$8:$J$10,2,FALSE))</f>
        <v xml:space="preserve"> </v>
      </c>
      <c r="I390" s="495"/>
      <c r="J390" s="356" t="str">
        <f>+IF(K390=""," ",VLOOKUP(K390,PUC!$B:$C,2,FALSE))</f>
        <v xml:space="preserve"> </v>
      </c>
      <c r="K390" s="334"/>
      <c r="L390" s="11" t="str">
        <f>+IF(M390=""," ",VLOOKUP(M390,Listas!$F$9:$G$17,2,FALSE))</f>
        <v xml:space="preserve"> </v>
      </c>
      <c r="M390" s="475"/>
      <c r="N390" s="345">
        <f t="shared" si="5"/>
        <v>0</v>
      </c>
      <c r="O390" s="29"/>
      <c r="P390" s="30"/>
      <c r="Q390" s="30"/>
      <c r="R390" s="30"/>
      <c r="S390" s="30"/>
      <c r="T390" s="30"/>
      <c r="U390" s="30"/>
      <c r="V390" s="30"/>
      <c r="W390" s="30"/>
      <c r="X390" s="30"/>
      <c r="Y390" s="30"/>
      <c r="Z390" s="31"/>
      <c r="AA390" s="59"/>
      <c r="AE390" s="345"/>
    </row>
    <row r="391" spans="1:31" s="60" customFormat="1" ht="38.25">
      <c r="A391" s="8"/>
      <c r="B391" s="11" t="str">
        <f>+IFERROR(VLOOKUP(C391,Listas!$L$8:$M$101,2,FALSE),"")</f>
        <v>10080102</v>
      </c>
      <c r="C391" s="334" t="s">
        <v>509</v>
      </c>
      <c r="D391" s="274"/>
      <c r="E391" s="275"/>
      <c r="F391" s="627" t="s">
        <v>1252</v>
      </c>
      <c r="G391" s="385" t="s">
        <v>1253</v>
      </c>
      <c r="H391" s="9" t="str">
        <f>+IF(I391=""," ",VLOOKUP(I391,Listas!$I$8:$J$10,2,FALSE))</f>
        <v xml:space="preserve"> </v>
      </c>
      <c r="I391" s="495"/>
      <c r="J391" s="356" t="str">
        <f>+IF(K391=""," ",VLOOKUP(K391,PUC!$B:$C,2,FALSE))</f>
        <v xml:space="preserve"> </v>
      </c>
      <c r="K391" s="334"/>
      <c r="L391" s="11" t="str">
        <f>+IF(M391=""," ",VLOOKUP(M391,Listas!$F$9:$G$17,2,FALSE))</f>
        <v xml:space="preserve"> </v>
      </c>
      <c r="M391" s="475"/>
      <c r="N391" s="345">
        <f t="shared" si="5"/>
        <v>0</v>
      </c>
      <c r="O391" s="29"/>
      <c r="P391" s="30"/>
      <c r="Q391" s="30"/>
      <c r="R391" s="30"/>
      <c r="S391" s="30"/>
      <c r="T391" s="30"/>
      <c r="U391" s="30"/>
      <c r="V391" s="30"/>
      <c r="W391" s="30"/>
      <c r="X391" s="30"/>
      <c r="Y391" s="30"/>
      <c r="Z391" s="31"/>
      <c r="AA391" s="59"/>
      <c r="AE391" s="345"/>
    </row>
    <row r="392" spans="1:31" s="60" customFormat="1" ht="51.75" thickBot="1">
      <c r="A392" s="8"/>
      <c r="B392" s="33" t="str">
        <f>+IFERROR(VLOOKUP(C392,Listas!$L$8:$M$101,2,FALSE),"")</f>
        <v>10080102</v>
      </c>
      <c r="C392" s="342" t="s">
        <v>509</v>
      </c>
      <c r="D392" s="274"/>
      <c r="E392" s="275"/>
      <c r="F392" s="629"/>
      <c r="G392" s="385" t="s">
        <v>1254</v>
      </c>
      <c r="H392" s="9" t="str">
        <f>+IF(I392=""," ",VLOOKUP(I392,Listas!$I$8:$J$10,2,FALSE))</f>
        <v xml:space="preserve"> </v>
      </c>
      <c r="I392" s="495"/>
      <c r="J392" s="356" t="str">
        <f>+IF(K392=""," ",VLOOKUP(K392,PUC!$B:$C,2,FALSE))</f>
        <v xml:space="preserve"> </v>
      </c>
      <c r="K392" s="334"/>
      <c r="L392" s="11" t="str">
        <f>+IF(M392=""," ",VLOOKUP(M392,Listas!$F$9:$G$17,2,FALSE))</f>
        <v xml:space="preserve"> </v>
      </c>
      <c r="M392" s="475"/>
      <c r="N392" s="345">
        <f t="shared" si="5"/>
        <v>0</v>
      </c>
      <c r="O392" s="29"/>
      <c r="P392" s="30"/>
      <c r="Q392" s="30"/>
      <c r="R392" s="30"/>
      <c r="S392" s="30"/>
      <c r="T392" s="30"/>
      <c r="U392" s="30"/>
      <c r="V392" s="30"/>
      <c r="W392" s="30"/>
      <c r="X392" s="30"/>
      <c r="Y392" s="30"/>
      <c r="Z392" s="31"/>
      <c r="AA392" s="59"/>
      <c r="AE392" s="345"/>
    </row>
    <row r="393" spans="1:31" s="60" customFormat="1" ht="29.25" hidden="1" customHeight="1">
      <c r="A393" s="8"/>
      <c r="B393" s="11" t="str">
        <f>+IFERROR(VLOOKUP(C393,Listas!$L$8:$M$101,2,FALSE),"")</f>
        <v>10080102</v>
      </c>
      <c r="C393" s="334" t="s">
        <v>509</v>
      </c>
      <c r="D393" s="274"/>
      <c r="E393" s="275"/>
      <c r="F393" s="274"/>
      <c r="G393" s="275"/>
      <c r="H393" s="9" t="str">
        <f>+IF(I393=""," ",VLOOKUP(I393,Listas!$I$8:$J$10,2,FALSE))</f>
        <v xml:space="preserve"> </v>
      </c>
      <c r="I393" s="495"/>
      <c r="J393" s="356" t="str">
        <f>+IF(K393=""," ",VLOOKUP(K393,PUC!$B:$C,2,FALSE))</f>
        <v xml:space="preserve"> </v>
      </c>
      <c r="K393" s="334"/>
      <c r="L393" s="11" t="str">
        <f>+IF(M393=""," ",VLOOKUP(M393,Listas!$F$9:$G$17,2,FALSE))</f>
        <v xml:space="preserve"> </v>
      </c>
      <c r="M393" s="475"/>
      <c r="N393" s="345">
        <f t="shared" si="5"/>
        <v>0</v>
      </c>
      <c r="O393" s="29"/>
      <c r="P393" s="30"/>
      <c r="Q393" s="30"/>
      <c r="R393" s="30"/>
      <c r="S393" s="30"/>
      <c r="T393" s="30"/>
      <c r="U393" s="30"/>
      <c r="V393" s="30"/>
      <c r="W393" s="30"/>
      <c r="X393" s="30"/>
      <c r="Y393" s="30"/>
      <c r="Z393" s="31"/>
      <c r="AA393" s="59"/>
      <c r="AE393" s="345"/>
    </row>
    <row r="394" spans="1:31" s="60" customFormat="1" ht="29.25" hidden="1" customHeight="1">
      <c r="A394" s="8"/>
      <c r="B394" s="33" t="str">
        <f>+IFERROR(VLOOKUP(C394,Listas!$L$8:$M$101,2,FALSE),"")</f>
        <v>10080102</v>
      </c>
      <c r="C394" s="342" t="s">
        <v>509</v>
      </c>
      <c r="D394" s="274"/>
      <c r="E394" s="275"/>
      <c r="F394" s="274"/>
      <c r="G394" s="275"/>
      <c r="H394" s="9" t="str">
        <f>+IF(I394=""," ",VLOOKUP(I394,Listas!$I$8:$J$10,2,FALSE))</f>
        <v xml:space="preserve"> </v>
      </c>
      <c r="I394" s="495"/>
      <c r="J394" s="356" t="str">
        <f>+IF(K394=""," ",VLOOKUP(K394,PUC!$B:$C,2,FALSE))</f>
        <v xml:space="preserve"> </v>
      </c>
      <c r="K394" s="334"/>
      <c r="L394" s="11" t="str">
        <f>+IF(M394=""," ",VLOOKUP(M394,Listas!$F$9:$G$17,2,FALSE))</f>
        <v xml:space="preserve"> </v>
      </c>
      <c r="M394" s="475"/>
      <c r="N394" s="345">
        <f t="shared" si="5"/>
        <v>0</v>
      </c>
      <c r="O394" s="29"/>
      <c r="P394" s="30"/>
      <c r="Q394" s="30"/>
      <c r="R394" s="30"/>
      <c r="S394" s="30"/>
      <c r="T394" s="30"/>
      <c r="U394" s="30"/>
      <c r="V394" s="30"/>
      <c r="W394" s="30"/>
      <c r="X394" s="30"/>
      <c r="Y394" s="30"/>
      <c r="Z394" s="31"/>
      <c r="AA394" s="59"/>
      <c r="AE394" s="345"/>
    </row>
    <row r="395" spans="1:31" s="60" customFormat="1" ht="29.25" hidden="1" customHeight="1">
      <c r="A395" s="8"/>
      <c r="B395" s="11" t="str">
        <f>+IFERROR(VLOOKUP(C395,Listas!$L$8:$M$101,2,FALSE),"")</f>
        <v>10080102</v>
      </c>
      <c r="C395" s="334" t="s">
        <v>509</v>
      </c>
      <c r="D395" s="274"/>
      <c r="E395" s="275"/>
      <c r="F395" s="274"/>
      <c r="G395" s="275"/>
      <c r="H395" s="9" t="str">
        <f>+IF(I395=""," ",VLOOKUP(I395,Listas!$I$8:$J$10,2,FALSE))</f>
        <v xml:space="preserve"> </v>
      </c>
      <c r="I395" s="495"/>
      <c r="J395" s="356" t="str">
        <f>+IF(K395=""," ",VLOOKUP(K395,PUC!$B:$C,2,FALSE))</f>
        <v xml:space="preserve"> </v>
      </c>
      <c r="K395" s="334"/>
      <c r="L395" s="11" t="str">
        <f>+IF(M395=""," ",VLOOKUP(M395,Listas!$F$9:$G$17,2,FALSE))</f>
        <v xml:space="preserve"> </v>
      </c>
      <c r="M395" s="475"/>
      <c r="N395" s="345">
        <f t="shared" si="5"/>
        <v>0</v>
      </c>
      <c r="O395" s="29"/>
      <c r="P395" s="30"/>
      <c r="Q395" s="30"/>
      <c r="R395" s="30"/>
      <c r="S395" s="30"/>
      <c r="T395" s="30"/>
      <c r="U395" s="30"/>
      <c r="V395" s="30"/>
      <c r="W395" s="30"/>
      <c r="X395" s="30"/>
      <c r="Y395" s="30"/>
      <c r="Z395" s="31"/>
      <c r="AA395" s="59"/>
      <c r="AE395" s="345"/>
    </row>
    <row r="396" spans="1:31" s="60" customFormat="1" ht="29.25" hidden="1" customHeight="1">
      <c r="A396" s="8"/>
      <c r="B396" s="33" t="str">
        <f>+IFERROR(VLOOKUP(C396,Listas!$L$8:$M$101,2,FALSE),"")</f>
        <v>10080102</v>
      </c>
      <c r="C396" s="342" t="s">
        <v>509</v>
      </c>
      <c r="D396" s="274"/>
      <c r="E396" s="275"/>
      <c r="F396" s="274"/>
      <c r="G396" s="275"/>
      <c r="H396" s="9" t="str">
        <f>+IF(I396=""," ",VLOOKUP(I396,Listas!$I$8:$J$10,2,FALSE))</f>
        <v xml:space="preserve"> </v>
      </c>
      <c r="I396" s="495"/>
      <c r="J396" s="356" t="str">
        <f>+IF(K396=""," ",VLOOKUP(K396,PUC!$B:$C,2,FALSE))</f>
        <v xml:space="preserve"> </v>
      </c>
      <c r="K396" s="334"/>
      <c r="L396" s="11" t="str">
        <f>+IF(M396=""," ",VLOOKUP(M396,Listas!$F$9:$G$17,2,FALSE))</f>
        <v xml:space="preserve"> </v>
      </c>
      <c r="M396" s="475"/>
      <c r="N396" s="345">
        <f t="shared" si="5"/>
        <v>0</v>
      </c>
      <c r="O396" s="29"/>
      <c r="P396" s="30"/>
      <c r="Q396" s="30"/>
      <c r="R396" s="30"/>
      <c r="S396" s="30"/>
      <c r="T396" s="30"/>
      <c r="U396" s="30"/>
      <c r="V396" s="30"/>
      <c r="W396" s="30"/>
      <c r="X396" s="30"/>
      <c r="Y396" s="30"/>
      <c r="Z396" s="31"/>
      <c r="AA396" s="59"/>
      <c r="AE396" s="345"/>
    </row>
    <row r="397" spans="1:31" s="60" customFormat="1" ht="29.25" hidden="1" customHeight="1" thickBot="1">
      <c r="A397" s="8"/>
      <c r="B397" s="22" t="str">
        <f>+IFERROR(VLOOKUP(C397,Listas!$L$8:$M$101,2,FALSE),"")</f>
        <v>10080102</v>
      </c>
      <c r="C397" s="340" t="s">
        <v>509</v>
      </c>
      <c r="D397" s="278"/>
      <c r="E397" s="279"/>
      <c r="F397" s="278"/>
      <c r="G397" s="279"/>
      <c r="H397" s="21" t="str">
        <f>+IF(I397=""," ",VLOOKUP(I397,Listas!$I$8:$J$10,2,FALSE))</f>
        <v xml:space="preserve"> </v>
      </c>
      <c r="I397" s="496"/>
      <c r="J397" s="363" t="str">
        <f>+IF(K397=""," ",VLOOKUP(K397,PUC!$B:$C,2,FALSE))</f>
        <v xml:space="preserve"> </v>
      </c>
      <c r="K397" s="340"/>
      <c r="L397" s="22" t="str">
        <f>+IF(M397=""," ",VLOOKUP(M397,Listas!$F$9:$G$17,2,FALSE))</f>
        <v xml:space="preserve"> </v>
      </c>
      <c r="M397" s="476"/>
      <c r="N397" s="347">
        <f t="shared" si="5"/>
        <v>0</v>
      </c>
      <c r="O397" s="23"/>
      <c r="P397" s="24"/>
      <c r="Q397" s="24"/>
      <c r="R397" s="24"/>
      <c r="S397" s="24"/>
      <c r="T397" s="24"/>
      <c r="U397" s="24"/>
      <c r="V397" s="24"/>
      <c r="W397" s="24"/>
      <c r="X397" s="24"/>
      <c r="Y397" s="24"/>
      <c r="Z397" s="25"/>
      <c r="AA397" s="59"/>
      <c r="AE397" s="347"/>
    </row>
    <row r="398" spans="1:31" s="60" customFormat="1" ht="29.25" customHeight="1">
      <c r="A398" s="8"/>
      <c r="B398" s="20" t="str">
        <f>+IFERROR(VLOOKUP(C398,Listas!$L$8:$M$101,2,FALSE),"")</f>
        <v>10140101</v>
      </c>
      <c r="C398" s="339" t="s">
        <v>520</v>
      </c>
      <c r="D398" s="276"/>
      <c r="E398" s="277"/>
      <c r="F398" s="276" t="s">
        <v>1256</v>
      </c>
      <c r="G398" s="277" t="s">
        <v>1256</v>
      </c>
      <c r="H398" s="18" t="str">
        <f>+IF(I398=""," ",VLOOKUP(I398,Listas!$I$8:$J$10,2,FALSE))</f>
        <v>02</v>
      </c>
      <c r="I398" s="497" t="s">
        <v>464</v>
      </c>
      <c r="J398" s="362">
        <f>+IF(K398=""," ",VLOOKUP(K398,PUC!$B:$C,2,FALSE))</f>
        <v>6208020303</v>
      </c>
      <c r="K398" s="339" t="s">
        <v>888</v>
      </c>
      <c r="L398" s="20" t="str">
        <f>+IF(M398=""," ",VLOOKUP(M398,Listas!$F$9:$G$17,2,FALSE))</f>
        <v>02</v>
      </c>
      <c r="M398" s="477" t="s">
        <v>444</v>
      </c>
      <c r="N398" s="346">
        <v>21000000</v>
      </c>
      <c r="O398" s="411"/>
      <c r="P398" s="412"/>
      <c r="Q398" s="412"/>
      <c r="R398" s="412"/>
      <c r="S398" s="412"/>
      <c r="T398" s="412"/>
      <c r="U398" s="412"/>
      <c r="V398" s="412"/>
      <c r="W398" s="412"/>
      <c r="X398" s="412"/>
      <c r="Y398" s="412"/>
      <c r="Z398" s="413"/>
      <c r="AA398" s="59"/>
    </row>
    <row r="399" spans="1:31" s="60" customFormat="1" ht="29.25" customHeight="1">
      <c r="A399" s="8"/>
      <c r="B399" s="11" t="str">
        <f>+IFERROR(VLOOKUP(C399,Listas!$L$8:$M$101,2,FALSE),"")</f>
        <v>10140101</v>
      </c>
      <c r="C399" s="334" t="s">
        <v>520</v>
      </c>
      <c r="D399" s="274"/>
      <c r="E399" s="275"/>
      <c r="F399" s="274"/>
      <c r="G399" s="275"/>
      <c r="H399" s="9" t="str">
        <f>+IF(I399=""," ",VLOOKUP(I399,Listas!$I$8:$J$10,2,FALSE))</f>
        <v xml:space="preserve"> </v>
      </c>
      <c r="I399" s="495"/>
      <c r="J399" s="356" t="str">
        <f>+IF(K399=""," ",VLOOKUP(K399,PUC!$B:$C,2,FALSE))</f>
        <v xml:space="preserve"> </v>
      </c>
      <c r="K399" s="334"/>
      <c r="L399" s="11" t="str">
        <f>+IF(M399=""," ",VLOOKUP(M399,Listas!$F$9:$G$17,2,FALSE))</f>
        <v xml:space="preserve"> </v>
      </c>
      <c r="M399" s="475"/>
      <c r="N399" s="345"/>
      <c r="O399" s="29"/>
      <c r="P399" s="30"/>
      <c r="Q399" s="30"/>
      <c r="R399" s="30"/>
      <c r="S399" s="30"/>
      <c r="T399" s="30"/>
      <c r="U399" s="30"/>
      <c r="V399" s="30"/>
      <c r="W399" s="30"/>
      <c r="X399" s="30"/>
      <c r="Y399" s="30"/>
      <c r="Z399" s="31"/>
      <c r="AA399" s="59"/>
    </row>
    <row r="400" spans="1:31" s="60" customFormat="1" ht="29.25" customHeight="1" thickBot="1">
      <c r="A400" s="8"/>
      <c r="B400" s="414" t="str">
        <f>+IFERROR(VLOOKUP(C400,Listas!$L$8:$M$101,2,FALSE),"")</f>
        <v>10130102</v>
      </c>
      <c r="C400" s="340" t="s">
        <v>519</v>
      </c>
      <c r="D400" s="278"/>
      <c r="E400" s="279"/>
      <c r="F400" s="278"/>
      <c r="G400" s="470" t="s">
        <v>1362</v>
      </c>
      <c r="H400" s="512" t="str">
        <f>+IF(I400=""," ",VLOOKUP(I400,Listas!$I$8:$J$10,2,FALSE))</f>
        <v>04</v>
      </c>
      <c r="I400" s="513" t="s">
        <v>466</v>
      </c>
      <c r="J400" s="514">
        <f>+IF(K400=""," ",VLOOKUP(K400,PUC!$B:$C,2,FALSE))</f>
        <v>6208021701</v>
      </c>
      <c r="K400" s="515" t="s">
        <v>983</v>
      </c>
      <c r="L400" s="516" t="str">
        <f>+IF(M400=""," ",VLOOKUP(M400,Listas!$F$9:$G$17,2,FALSE))</f>
        <v>05</v>
      </c>
      <c r="M400" s="517" t="s">
        <v>450</v>
      </c>
      <c r="N400" s="518">
        <v>5535000</v>
      </c>
      <c r="O400" s="23"/>
      <c r="P400" s="24"/>
      <c r="Q400" s="24"/>
      <c r="R400" s="24"/>
      <c r="S400" s="24"/>
      <c r="T400" s="24"/>
      <c r="U400" s="24"/>
      <c r="V400" s="24"/>
      <c r="W400" s="24"/>
      <c r="X400" s="24"/>
      <c r="Y400" s="24"/>
      <c r="Z400" s="25"/>
      <c r="AA400" s="59"/>
    </row>
    <row r="401" spans="1:27" s="60" customFormat="1" ht="29.25" customHeight="1">
      <c r="A401" s="8"/>
      <c r="B401" s="33" t="str">
        <f>+IFERROR(VLOOKUP(C401,Listas!$L$8:$M$101,2,FALSE),"")</f>
        <v>03010102</v>
      </c>
      <c r="C401" s="342" t="s">
        <v>621</v>
      </c>
      <c r="D401" s="282"/>
      <c r="E401" s="283"/>
      <c r="F401" s="282"/>
      <c r="G401" s="415" t="s">
        <v>1257</v>
      </c>
      <c r="H401" s="32" t="str">
        <f>+IF(I401=""," ",VLOOKUP(I401,Listas!$I$8:$J$10,2,FALSE))</f>
        <v>02</v>
      </c>
      <c r="I401" s="502" t="s">
        <v>464</v>
      </c>
      <c r="J401" s="360">
        <f>+IF(K401=""," ",VLOOKUP(K401,PUC!$B:$C,2,FALSE))</f>
        <v>5395959501</v>
      </c>
      <c r="K401" s="342" t="s">
        <v>747</v>
      </c>
      <c r="L401" s="33" t="str">
        <f>+IF(M401=""," ",VLOOKUP(M401,Listas!$F$9:$G$17,2,FALSE))</f>
        <v>02</v>
      </c>
      <c r="M401" s="484" t="s">
        <v>444</v>
      </c>
      <c r="N401" s="344">
        <f>+MROUND('Total Presupuesto'!G42*0.03,1000)</f>
        <v>65565000</v>
      </c>
      <c r="O401" s="408"/>
      <c r="P401" s="409"/>
      <c r="Q401" s="409"/>
      <c r="R401" s="409"/>
      <c r="S401" s="409"/>
      <c r="T401" s="409"/>
      <c r="U401" s="409"/>
      <c r="V401" s="409"/>
      <c r="W401" s="409"/>
      <c r="X401" s="409"/>
      <c r="Y401" s="409"/>
      <c r="Z401" s="410"/>
      <c r="AA401" s="59"/>
    </row>
    <row r="402" spans="1:27" s="60" customFormat="1" ht="29.25" customHeight="1">
      <c r="A402" s="8"/>
      <c r="B402" s="33" t="str">
        <f>+IFERROR(VLOOKUP(C402,Listas!$L$8:$M$101,2,FALSE),"")</f>
        <v>03010102</v>
      </c>
      <c r="C402" s="334" t="s">
        <v>621</v>
      </c>
      <c r="D402" s="274"/>
      <c r="E402" s="275"/>
      <c r="F402" s="274"/>
      <c r="G402" s="416" t="s">
        <v>1258</v>
      </c>
      <c r="H402" s="9" t="str">
        <f>+IF(I402=""," ",VLOOKUP(I402,Listas!$I$8:$J$10,2,FALSE))</f>
        <v>02</v>
      </c>
      <c r="I402" s="502" t="s">
        <v>464</v>
      </c>
      <c r="J402" s="356">
        <f>+IF(K402=""," ",VLOOKUP(K402,PUC!$B:$C,2,FALSE))</f>
        <v>6208080101</v>
      </c>
      <c r="K402" s="334" t="s">
        <v>815</v>
      </c>
      <c r="L402" s="11" t="str">
        <f>+IF(M402=""," ",VLOOKUP(M402,Listas!$F$9:$G$17,2,FALSE))</f>
        <v>05</v>
      </c>
      <c r="M402" s="475" t="s">
        <v>450</v>
      </c>
      <c r="N402" s="345">
        <f>+ROUND(('Total Presupuesto'!G42*(3.1/1000))+('Total Presupuesto'!G42*(3.1/1000)*0.15)+('Total Presupuesto'!G42*(3.1/1000)*0.055),-3)-3500000</f>
        <v>4664000</v>
      </c>
      <c r="O402" s="29"/>
      <c r="P402" s="30"/>
      <c r="Q402" s="30"/>
      <c r="R402" s="30"/>
      <c r="S402" s="30"/>
      <c r="T402" s="30"/>
      <c r="U402" s="30"/>
      <c r="V402" s="30"/>
      <c r="W402" s="30"/>
      <c r="X402" s="30"/>
      <c r="Y402" s="30"/>
      <c r="Z402" s="31"/>
      <c r="AA402" s="59"/>
    </row>
    <row r="403" spans="1:27" s="60" customFormat="1" ht="29.25" customHeight="1">
      <c r="A403" s="8"/>
      <c r="B403" s="527" t="s">
        <v>203</v>
      </c>
      <c r="C403" s="527" t="s">
        <v>1373</v>
      </c>
      <c r="D403" s="274"/>
      <c r="E403" s="275"/>
      <c r="F403" s="274"/>
      <c r="G403" s="416" t="s">
        <v>1259</v>
      </c>
      <c r="H403" s="9" t="str">
        <f>+IF(I403=""," ",VLOOKUP(I403,Listas!$I$8:$J$10,2,FALSE))</f>
        <v>02</v>
      </c>
      <c r="I403" s="502" t="s">
        <v>464</v>
      </c>
      <c r="J403" s="356">
        <f>+IF(K403=""," ",VLOOKUP(K403,PUC!$B:$C,2,FALSE))</f>
        <v>6208021007</v>
      </c>
      <c r="K403" s="334" t="s">
        <v>846</v>
      </c>
      <c r="L403" s="11" t="str">
        <f>+IF(M403=""," ",VLOOKUP(M403,Listas!$F$9:$G$17,2,FALSE))</f>
        <v>02</v>
      </c>
      <c r="M403" s="475" t="s">
        <v>444</v>
      </c>
      <c r="N403" s="345">
        <f>+MROUND(('Total Presupuesto'!G42*0.25%),1000)</f>
        <v>5464000</v>
      </c>
      <c r="O403" s="29"/>
      <c r="P403" s="30"/>
      <c r="Q403" s="30"/>
      <c r="R403" s="30"/>
      <c r="S403" s="30"/>
      <c r="T403" s="30"/>
      <c r="U403" s="30"/>
      <c r="V403" s="30"/>
      <c r="W403" s="30"/>
      <c r="X403" s="30"/>
      <c r="Y403" s="30"/>
      <c r="Z403" s="31"/>
      <c r="AA403" s="59"/>
    </row>
    <row r="404" spans="1:27" s="60" customFormat="1" ht="29.25" customHeight="1">
      <c r="A404" s="8"/>
      <c r="B404" s="33" t="str">
        <f>+IFERROR(VLOOKUP(C404,Listas!$L$8:$M$101,2,FALSE),"")</f>
        <v>03010102</v>
      </c>
      <c r="C404" s="334" t="s">
        <v>621</v>
      </c>
      <c r="D404" s="274"/>
      <c r="E404" s="275"/>
      <c r="F404" s="274"/>
      <c r="G404" s="416" t="s">
        <v>1260</v>
      </c>
      <c r="H404" s="9" t="str">
        <f>+IF(I404=""," ",VLOOKUP(I404,Listas!$I$8:$J$10,2,FALSE))</f>
        <v>02</v>
      </c>
      <c r="I404" s="502" t="s">
        <v>464</v>
      </c>
      <c r="J404" s="356">
        <f>+IF(K404=""," ",VLOOKUP(K404,PUC!$B:$C,2,FALSE))</f>
        <v>6208020401</v>
      </c>
      <c r="K404" s="334" t="s">
        <v>872</v>
      </c>
      <c r="L404" s="11" t="str">
        <f>+IF(M404=""," ",VLOOKUP(M404,Listas!$F$9:$G$17,2,FALSE))</f>
        <v>05</v>
      </c>
      <c r="M404" s="475" t="s">
        <v>450</v>
      </c>
      <c r="N404" s="345">
        <v>1550000</v>
      </c>
      <c r="O404" s="29" t="s">
        <v>1325</v>
      </c>
      <c r="P404" s="30"/>
      <c r="Q404" s="30"/>
      <c r="R404" s="30"/>
      <c r="S404" s="30"/>
      <c r="T404" s="30"/>
      <c r="U404" s="30"/>
      <c r="V404" s="30"/>
      <c r="W404" s="30"/>
      <c r="X404" s="30"/>
      <c r="Y404" s="30"/>
      <c r="Z404" s="31"/>
      <c r="AA404" s="59"/>
    </row>
    <row r="405" spans="1:27" s="60" customFormat="1" ht="29.25" customHeight="1">
      <c r="A405" s="8"/>
      <c r="B405" s="11" t="str">
        <f>+IFERROR(VLOOKUP(C405,Listas!$L$8:$M$101,2,FALSE),"")</f>
        <v>03010102</v>
      </c>
      <c r="C405" s="334" t="s">
        <v>621</v>
      </c>
      <c r="D405" s="274"/>
      <c r="E405" s="275"/>
      <c r="F405" s="274"/>
      <c r="G405" s="416" t="s">
        <v>1261</v>
      </c>
      <c r="H405" s="9" t="str">
        <f>+IF(I405=""," ",VLOOKUP(I405,Listas!$I$8:$J$10,2,FALSE))</f>
        <v>02</v>
      </c>
      <c r="I405" s="502" t="s">
        <v>464</v>
      </c>
      <c r="J405" s="356">
        <f>+IF(K405=""," ",VLOOKUP(K405,PUC!$B:$C,2,FALSE))</f>
        <v>6208020402</v>
      </c>
      <c r="K405" s="334" t="s">
        <v>871</v>
      </c>
      <c r="L405" s="11" t="str">
        <f>+IF(M405=""," ",VLOOKUP(M405,Listas!$F$9:$G$17,2,FALSE))</f>
        <v>05</v>
      </c>
      <c r="M405" s="475" t="s">
        <v>450</v>
      </c>
      <c r="N405" s="345">
        <v>4845000</v>
      </c>
      <c r="O405" s="29" t="s">
        <v>1326</v>
      </c>
      <c r="P405" s="30"/>
      <c r="Q405" s="30"/>
      <c r="R405" s="30"/>
      <c r="S405" s="30"/>
      <c r="T405" s="30"/>
      <c r="U405" s="30"/>
      <c r="V405" s="30"/>
      <c r="W405" s="30"/>
      <c r="X405" s="30"/>
      <c r="Y405" s="30"/>
      <c r="Z405" s="31"/>
      <c r="AA405" s="59"/>
    </row>
    <row r="406" spans="1:27" s="60" customFormat="1" ht="29.25" customHeight="1">
      <c r="A406" s="8"/>
      <c r="B406" s="11" t="str">
        <f>+IFERROR(VLOOKUP(C406,Listas!$L$8:$M$101,2,FALSE),"")</f>
        <v>03010102</v>
      </c>
      <c r="C406" s="334" t="s">
        <v>621</v>
      </c>
      <c r="D406" s="274"/>
      <c r="E406" s="275"/>
      <c r="F406" s="274"/>
      <c r="G406" s="416" t="s">
        <v>1262</v>
      </c>
      <c r="H406" s="9" t="str">
        <f>+IF(I406=""," ",VLOOKUP(I406,Listas!$I$8:$J$10,2,FALSE))</f>
        <v>02</v>
      </c>
      <c r="I406" s="502" t="s">
        <v>464</v>
      </c>
      <c r="J406" s="356">
        <f>+IF(K406=""," ",VLOOKUP(K406,PUC!$B:$C,2,FALSE))</f>
        <v>6208020403</v>
      </c>
      <c r="K406" s="334" t="s">
        <v>873</v>
      </c>
      <c r="L406" s="11" t="str">
        <f>+IF(M406=""," ",VLOOKUP(M406,Listas!$F$9:$G$17,2,FALSE))</f>
        <v>05</v>
      </c>
      <c r="M406" s="475" t="s">
        <v>450</v>
      </c>
      <c r="N406" s="345">
        <v>10659000</v>
      </c>
      <c r="O406" s="29" t="s">
        <v>1327</v>
      </c>
      <c r="P406" s="30"/>
      <c r="Q406" s="30"/>
      <c r="R406" s="30"/>
      <c r="S406" s="30"/>
      <c r="T406" s="30"/>
      <c r="U406" s="30"/>
      <c r="V406" s="30"/>
      <c r="W406" s="30"/>
      <c r="X406" s="30"/>
      <c r="Y406" s="30"/>
      <c r="Z406" s="31"/>
      <c r="AA406" s="59"/>
    </row>
    <row r="407" spans="1:27" s="60" customFormat="1" ht="29.25" customHeight="1">
      <c r="A407" s="8"/>
      <c r="B407" s="11" t="str">
        <f>+IFERROR(VLOOKUP(C407,Listas!$L$8:$M$101,2,FALSE),"")</f>
        <v>03010102</v>
      </c>
      <c r="C407" s="334" t="s">
        <v>621</v>
      </c>
      <c r="D407" s="274"/>
      <c r="E407" s="275"/>
      <c r="F407" s="274"/>
      <c r="G407" s="416" t="s">
        <v>1263</v>
      </c>
      <c r="H407" s="9" t="str">
        <f>+IF(I407=""," ",VLOOKUP(I407,Listas!$I$8:$J$10,2,FALSE))</f>
        <v>02</v>
      </c>
      <c r="I407" s="502" t="s">
        <v>464</v>
      </c>
      <c r="J407" s="356">
        <f>+IF(K407=""," ",VLOOKUP(K407,PUC!$B:$C,2,FALSE))</f>
        <v>6208020404</v>
      </c>
      <c r="K407" s="334" t="s">
        <v>876</v>
      </c>
      <c r="L407" s="11" t="str">
        <f>+IF(M407=""," ",VLOOKUP(M407,Listas!$F$9:$G$17,2,FALSE))</f>
        <v>05</v>
      </c>
      <c r="M407" s="475" t="s">
        <v>450</v>
      </c>
      <c r="N407" s="345">
        <v>2907000</v>
      </c>
      <c r="O407" s="29" t="s">
        <v>226</v>
      </c>
      <c r="P407" s="30"/>
      <c r="Q407" s="30"/>
      <c r="R407" s="30"/>
      <c r="S407" s="30"/>
      <c r="T407" s="30"/>
      <c r="U407" s="30"/>
      <c r="V407" s="30"/>
      <c r="W407" s="30"/>
      <c r="X407" s="30"/>
      <c r="Y407" s="30"/>
      <c r="Z407" s="31"/>
      <c r="AA407" s="59"/>
    </row>
    <row r="408" spans="1:27" s="60" customFormat="1" ht="29.25" customHeight="1">
      <c r="A408" s="8"/>
      <c r="B408" s="11" t="str">
        <f>+IFERROR(VLOOKUP(C408,Listas!$L$8:$M$101,2,FALSE),"")</f>
        <v>03010102</v>
      </c>
      <c r="C408" s="334" t="s">
        <v>621</v>
      </c>
      <c r="D408" s="274"/>
      <c r="E408" s="275"/>
      <c r="F408" s="274"/>
      <c r="G408" s="416" t="s">
        <v>1264</v>
      </c>
      <c r="H408" s="9" t="str">
        <f>+IF(I408=""," ",VLOOKUP(I408,Listas!$I$8:$J$10,2,FALSE))</f>
        <v>02</v>
      </c>
      <c r="I408" s="502" t="s">
        <v>464</v>
      </c>
      <c r="J408" s="356">
        <f>+IF(K408=""," ",VLOOKUP(K408,PUC!$B:$C,2,FALSE))</f>
        <v>6208020405</v>
      </c>
      <c r="K408" s="334" t="s">
        <v>877</v>
      </c>
      <c r="L408" s="11" t="str">
        <f>+IF(M408=""," ",VLOOKUP(M408,Listas!$F$9:$G$17,2,FALSE))</f>
        <v>05</v>
      </c>
      <c r="M408" s="475" t="s">
        <v>450</v>
      </c>
      <c r="N408" s="345">
        <v>775000</v>
      </c>
      <c r="O408" s="29" t="s">
        <v>1328</v>
      </c>
      <c r="P408" s="30"/>
      <c r="Q408" s="30"/>
      <c r="R408" s="30"/>
      <c r="S408" s="30"/>
      <c r="T408" s="30"/>
      <c r="U408" s="30"/>
      <c r="V408" s="30"/>
      <c r="W408" s="30"/>
      <c r="X408" s="30"/>
      <c r="Y408" s="30"/>
      <c r="Z408" s="31"/>
      <c r="AA408" s="59"/>
    </row>
    <row r="409" spans="1:27" s="60" customFormat="1" ht="29.25" customHeight="1">
      <c r="A409" s="8"/>
      <c r="B409" s="11" t="str">
        <f>+IFERROR(VLOOKUP(C409,Listas!$L$8:$M$101,2,FALSE),"")</f>
        <v>03010102</v>
      </c>
      <c r="C409" s="334" t="s">
        <v>621</v>
      </c>
      <c r="D409" s="274"/>
      <c r="E409" s="275"/>
      <c r="F409" s="274"/>
      <c r="G409" s="416" t="s">
        <v>1267</v>
      </c>
      <c r="H409" s="9" t="str">
        <f>+IF(I409=""," ",VLOOKUP(I409,Listas!$I$8:$J$10,2,FALSE))</f>
        <v>02</v>
      </c>
      <c r="I409" s="502" t="s">
        <v>464</v>
      </c>
      <c r="J409" s="356">
        <f>+IF(K409=""," ",VLOOKUP(K409,PUC!$B:$C,2,FALSE))</f>
        <v>6208020406</v>
      </c>
      <c r="K409" s="334" t="s">
        <v>875</v>
      </c>
      <c r="L409" s="11" t="str">
        <f>+IF(M409=""," ",VLOOKUP(M409,Listas!$F$9:$G$17,2,FALSE))</f>
        <v>05</v>
      </c>
      <c r="M409" s="475" t="s">
        <v>450</v>
      </c>
      <c r="N409" s="345">
        <v>2907000</v>
      </c>
      <c r="O409" s="29" t="s">
        <v>1329</v>
      </c>
      <c r="P409" s="30"/>
      <c r="Q409" s="30"/>
      <c r="R409" s="30"/>
      <c r="S409" s="30"/>
      <c r="T409" s="30"/>
      <c r="U409" s="30"/>
      <c r="V409" s="30"/>
      <c r="W409" s="30"/>
      <c r="X409" s="30"/>
      <c r="Y409" s="30"/>
      <c r="Z409" s="31"/>
      <c r="AA409" s="59"/>
    </row>
    <row r="410" spans="1:27" s="60" customFormat="1" ht="29.25" customHeight="1">
      <c r="A410" s="8"/>
      <c r="B410" s="11" t="str">
        <f>+IFERROR(VLOOKUP(C410,Listas!$L$8:$M$101,2,FALSE),"")</f>
        <v>03010102</v>
      </c>
      <c r="C410" s="334" t="s">
        <v>621</v>
      </c>
      <c r="D410" s="274"/>
      <c r="E410" s="275"/>
      <c r="F410" s="274"/>
      <c r="G410" s="416" t="s">
        <v>1265</v>
      </c>
      <c r="H410" s="9" t="str">
        <f>+IF(I410=""," ",VLOOKUP(I410,Listas!$I$8:$J$10,2,FALSE))</f>
        <v>02</v>
      </c>
      <c r="I410" s="502" t="s">
        <v>464</v>
      </c>
      <c r="J410" s="356">
        <f>+IF(K410=""," ",VLOOKUP(K410,PUC!$B:$C,2,FALSE))</f>
        <v>6208021001</v>
      </c>
      <c r="K410" s="334" t="s">
        <v>845</v>
      </c>
      <c r="L410" s="11" t="str">
        <f>+IF(M410=""," ",VLOOKUP(M410,Listas!$F$9:$G$17,2,FALSE))</f>
        <v>05</v>
      </c>
      <c r="M410" s="475" t="s">
        <v>450</v>
      </c>
      <c r="N410" s="345">
        <v>775000</v>
      </c>
      <c r="O410" s="29" t="s">
        <v>224</v>
      </c>
      <c r="P410" s="30"/>
      <c r="Q410" s="30"/>
      <c r="R410" s="30"/>
      <c r="S410" s="30"/>
      <c r="T410" s="30"/>
      <c r="U410" s="30"/>
      <c r="V410" s="30"/>
      <c r="W410" s="30"/>
      <c r="X410" s="30"/>
      <c r="Y410" s="30"/>
      <c r="Z410" s="31"/>
      <c r="AA410" s="59"/>
    </row>
    <row r="411" spans="1:27" s="60" customFormat="1" ht="29.25" customHeight="1">
      <c r="A411" s="8"/>
      <c r="B411" s="11" t="str">
        <f>+IFERROR(VLOOKUP(C411,Listas!$L$8:$M$101,2,FALSE),"")</f>
        <v>03010102</v>
      </c>
      <c r="C411" s="334" t="s">
        <v>621</v>
      </c>
      <c r="D411" s="274"/>
      <c r="E411" s="275"/>
      <c r="F411" s="274"/>
      <c r="G411" s="416" t="s">
        <v>1266</v>
      </c>
      <c r="H411" s="9" t="str">
        <f>+IF(I411=""," ",VLOOKUP(I411,Listas!$I$8:$J$10,2,FALSE))</f>
        <v>02</v>
      </c>
      <c r="I411" s="502" t="s">
        <v>464</v>
      </c>
      <c r="J411" s="356">
        <f>+IF(K411=""," ",VLOOKUP(K411,PUC!$B:$C,2,FALSE))</f>
        <v>6208022001</v>
      </c>
      <c r="K411" s="334" t="s">
        <v>801</v>
      </c>
      <c r="L411" s="11" t="str">
        <f>+IF(M411=""," ",VLOOKUP(M411,Listas!$F$9:$G$17,2,FALSE))</f>
        <v>05</v>
      </c>
      <c r="M411" s="475" t="s">
        <v>450</v>
      </c>
      <c r="N411" s="345">
        <v>2326000</v>
      </c>
      <c r="O411" s="29" t="s">
        <v>221</v>
      </c>
      <c r="P411" s="30"/>
      <c r="Q411" s="30"/>
      <c r="R411" s="30"/>
      <c r="S411" s="30"/>
      <c r="T411" s="30"/>
      <c r="U411" s="30"/>
      <c r="V411" s="30"/>
      <c r="W411" s="30"/>
      <c r="X411" s="30"/>
      <c r="Y411" s="30"/>
      <c r="Z411" s="31"/>
      <c r="AA411" s="59"/>
    </row>
    <row r="412" spans="1:27" s="60" customFormat="1" ht="29.25" customHeight="1">
      <c r="A412" s="8"/>
      <c r="B412" s="11" t="str">
        <f>+IFERROR(VLOOKUP(C412,Listas!$L$8:$M$101,2,FALSE),"")</f>
        <v>03010102</v>
      </c>
      <c r="C412" s="334" t="s">
        <v>621</v>
      </c>
      <c r="D412" s="274"/>
      <c r="E412" s="275"/>
      <c r="F412" s="274"/>
      <c r="G412" s="417" t="s">
        <v>1268</v>
      </c>
      <c r="H412" s="9" t="str">
        <f>+IF(I412=""," ",VLOOKUP(I412,Listas!$I$8:$J$10,2,FALSE))</f>
        <v>02</v>
      </c>
      <c r="I412" s="502" t="s">
        <v>464</v>
      </c>
      <c r="J412" s="356">
        <f>+IF(K412=""," ",VLOOKUP(K412,PUC!$B:$C,2,FALSE))</f>
        <v>6208020309</v>
      </c>
      <c r="K412" s="334" t="s">
        <v>889</v>
      </c>
      <c r="L412" s="11" t="str">
        <f>+IF(M412=""," ",VLOOKUP(M412,Listas!$F$9:$G$17,2,FALSE))</f>
        <v>05</v>
      </c>
      <c r="M412" s="475" t="s">
        <v>450</v>
      </c>
      <c r="N412" s="345">
        <v>15504000</v>
      </c>
      <c r="O412" s="29" t="s">
        <v>228</v>
      </c>
      <c r="P412" s="30"/>
      <c r="Q412" s="30"/>
      <c r="R412" s="30"/>
      <c r="S412" s="30"/>
      <c r="T412" s="30"/>
      <c r="U412" s="30"/>
      <c r="V412" s="30"/>
      <c r="W412" s="30"/>
      <c r="X412" s="30"/>
      <c r="Y412" s="30"/>
      <c r="Z412" s="31"/>
      <c r="AA412" s="59"/>
    </row>
    <row r="413" spans="1:27" s="60" customFormat="1" ht="29.25" customHeight="1">
      <c r="A413" s="8"/>
      <c r="B413" s="11" t="str">
        <f>+IFERROR(VLOOKUP(C413,Listas!$L$8:$M$101,2,FALSE),"")</f>
        <v>03010102</v>
      </c>
      <c r="C413" s="334" t="s">
        <v>621</v>
      </c>
      <c r="D413" s="274"/>
      <c r="E413" s="275"/>
      <c r="F413" s="274"/>
      <c r="G413" s="417" t="s">
        <v>1269</v>
      </c>
      <c r="H413" s="9" t="str">
        <f>+IF(I413=""," ",VLOOKUP(I413,Listas!$I$8:$J$10,2,FALSE))</f>
        <v>02</v>
      </c>
      <c r="I413" s="495" t="s">
        <v>464</v>
      </c>
      <c r="J413" s="356">
        <f>+IF(K413=""," ",VLOOKUP(K413,PUC!$B:$C,2,FALSE))</f>
        <v>6208021402</v>
      </c>
      <c r="K413" s="334" t="s">
        <v>869</v>
      </c>
      <c r="L413" s="11" t="str">
        <f>+IF(M413=""," ",VLOOKUP(M413,Listas!$F$9:$G$17,2,FALSE))</f>
        <v>05</v>
      </c>
      <c r="M413" s="475" t="s">
        <v>450</v>
      </c>
      <c r="N413" s="345">
        <v>7752000</v>
      </c>
      <c r="O413" s="29" t="s">
        <v>1330</v>
      </c>
      <c r="P413" s="30"/>
      <c r="Q413" s="30"/>
      <c r="R413" s="30"/>
      <c r="S413" s="30"/>
      <c r="T413" s="30"/>
      <c r="U413" s="30"/>
      <c r="V413" s="30"/>
      <c r="W413" s="30"/>
      <c r="X413" s="30"/>
      <c r="Y413" s="30"/>
      <c r="Z413" s="31"/>
      <c r="AA413" s="59"/>
    </row>
    <row r="414" spans="1:27" s="60" customFormat="1" ht="29.25" customHeight="1">
      <c r="A414" s="8"/>
      <c r="B414" s="11" t="str">
        <f>+IFERROR(VLOOKUP(C414,Listas!$L$8:$M$101,2,FALSE),"")</f>
        <v>03010102</v>
      </c>
      <c r="C414" s="334" t="s">
        <v>621</v>
      </c>
      <c r="D414" s="274"/>
      <c r="E414" s="275"/>
      <c r="F414" s="274"/>
      <c r="G414" s="275"/>
      <c r="H414" s="9" t="str">
        <f>+IF(I414=""," ",VLOOKUP(I414,Listas!$I$8:$J$10,2,FALSE))</f>
        <v xml:space="preserve"> </v>
      </c>
      <c r="I414" s="495"/>
      <c r="J414" s="356" t="str">
        <f>+IF(K414=""," ",VLOOKUP(K414,PUC!$B:$C,2,FALSE))</f>
        <v xml:space="preserve"> </v>
      </c>
      <c r="K414" s="334"/>
      <c r="L414" s="11" t="str">
        <f>+IF(M414=""," ",VLOOKUP(M414,Listas!$F$9:$G$17,2,FALSE))</f>
        <v xml:space="preserve"> </v>
      </c>
      <c r="M414" s="475"/>
      <c r="N414" s="345"/>
      <c r="O414" s="29"/>
      <c r="P414" s="30"/>
      <c r="Q414" s="30"/>
      <c r="R414" s="30"/>
      <c r="S414" s="30"/>
      <c r="T414" s="30"/>
      <c r="U414" s="30"/>
      <c r="V414" s="30"/>
      <c r="W414" s="30"/>
      <c r="X414" s="30"/>
      <c r="Y414" s="30"/>
      <c r="Z414" s="31"/>
      <c r="AA414" s="59"/>
    </row>
    <row r="415" spans="1:27" s="60" customFormat="1" ht="29.25" customHeight="1">
      <c r="A415" s="8"/>
      <c r="B415" s="11" t="str">
        <f>+IFERROR(VLOOKUP(C415,Listas!$L$8:$M$101,2,FALSE),"")</f>
        <v>03010102</v>
      </c>
      <c r="C415" s="334" t="s">
        <v>621</v>
      </c>
      <c r="D415" s="274"/>
      <c r="E415" s="275"/>
      <c r="F415" s="274"/>
      <c r="G415" s="275"/>
      <c r="H415" s="9" t="str">
        <f>+IF(I415=""," ",VLOOKUP(I415,Listas!$I$8:$J$10,2,FALSE))</f>
        <v xml:space="preserve"> </v>
      </c>
      <c r="I415" s="495"/>
      <c r="J415" s="356" t="str">
        <f>+IF(K415=""," ",VLOOKUP(K415,PUC!$B:$C,2,FALSE))</f>
        <v xml:space="preserve"> </v>
      </c>
      <c r="K415" s="334"/>
      <c r="L415" s="11" t="str">
        <f>+IF(M415=""," ",VLOOKUP(M415,Listas!$F$9:$G$17,2,FALSE))</f>
        <v xml:space="preserve"> </v>
      </c>
      <c r="M415" s="475"/>
      <c r="N415" s="345"/>
      <c r="O415" s="29"/>
      <c r="P415" s="30"/>
      <c r="Q415" s="30"/>
      <c r="R415" s="30"/>
      <c r="S415" s="30"/>
      <c r="T415" s="30"/>
      <c r="U415" s="30"/>
      <c r="V415" s="30"/>
      <c r="W415" s="30"/>
      <c r="X415" s="30"/>
      <c r="Y415" s="30"/>
      <c r="Z415" s="31"/>
      <c r="AA415" s="59"/>
    </row>
    <row r="416" spans="1:27" s="60" customFormat="1" ht="29.25" customHeight="1">
      <c r="A416" s="8"/>
      <c r="B416" s="11" t="str">
        <f>+IFERROR(VLOOKUP(C416,Listas!$L$8:$M$101,2,FALSE),"")</f>
        <v>03010102</v>
      </c>
      <c r="C416" s="334" t="s">
        <v>621</v>
      </c>
      <c r="D416" s="274"/>
      <c r="E416" s="275"/>
      <c r="F416" s="274"/>
      <c r="G416" s="491" t="s">
        <v>1363</v>
      </c>
      <c r="H416" s="9" t="str">
        <f>+IF(I416=""," ",VLOOKUP(I416,Listas!$I$8:$J$10,2,FALSE))</f>
        <v>02</v>
      </c>
      <c r="I416" s="495" t="s">
        <v>464</v>
      </c>
      <c r="J416" s="356">
        <f>+IF(K416=""," ",VLOOKUP(K416,PUC!$B:$C,2,FALSE))</f>
        <v>6208020101</v>
      </c>
      <c r="K416" s="334" t="s">
        <v>795</v>
      </c>
      <c r="L416" s="11" t="str">
        <f>+IF(M416=""," ",VLOOKUP(M416,Listas!$F$9:$G$17,2,FALSE))</f>
        <v>02</v>
      </c>
      <c r="M416" s="475" t="s">
        <v>444</v>
      </c>
      <c r="N416" s="345">
        <v>10000000</v>
      </c>
      <c r="O416" s="29"/>
      <c r="P416" s="30"/>
      <c r="Q416" s="30"/>
      <c r="R416" s="30"/>
      <c r="S416" s="30"/>
      <c r="T416" s="30"/>
      <c r="U416" s="30"/>
      <c r="V416" s="30"/>
      <c r="W416" s="30"/>
      <c r="X416" s="30"/>
      <c r="Y416" s="30"/>
      <c r="Z416" s="31"/>
      <c r="AA416" s="59"/>
    </row>
    <row r="417" spans="1:29" s="60" customFormat="1" ht="29.25" customHeight="1">
      <c r="A417" s="8"/>
      <c r="B417" s="11" t="str">
        <f>+IFERROR(VLOOKUP(C417,Listas!$L$8:$M$101,2,FALSE),"")</f>
        <v>03010102</v>
      </c>
      <c r="C417" s="334" t="s">
        <v>621</v>
      </c>
      <c r="D417" s="274"/>
      <c r="E417" s="275"/>
      <c r="F417" s="274"/>
      <c r="G417" s="416" t="s">
        <v>1364</v>
      </c>
      <c r="H417" s="9" t="str">
        <f>+IF(I417=""," ",VLOOKUP(I417,Listas!$I$8:$J$10,2,FALSE))</f>
        <v>02</v>
      </c>
      <c r="I417" s="495" t="s">
        <v>464</v>
      </c>
      <c r="J417" s="356">
        <f>+IF(K417=""," ",VLOOKUP(K417,PUC!$B:$C,2,FALSE))</f>
        <v>6208020503</v>
      </c>
      <c r="K417" s="334" t="s">
        <v>805</v>
      </c>
      <c r="L417" s="11" t="str">
        <f>+IF(M417=""," ",VLOOKUP(M417,Listas!$F$9:$G$17,2,FALSE))</f>
        <v>02</v>
      </c>
      <c r="M417" s="475" t="s">
        <v>444</v>
      </c>
      <c r="N417" s="345">
        <v>3000000</v>
      </c>
      <c r="O417" s="29"/>
      <c r="P417" s="30"/>
      <c r="Q417" s="30"/>
      <c r="R417" s="30"/>
      <c r="S417" s="30"/>
      <c r="T417" s="30"/>
      <c r="U417" s="30"/>
      <c r="V417" s="30"/>
      <c r="W417" s="30"/>
      <c r="X417" s="30"/>
      <c r="Y417" s="30"/>
      <c r="Z417" s="31"/>
      <c r="AA417" s="59"/>
    </row>
    <row r="418" spans="1:29" s="60" customFormat="1" ht="29.25" customHeight="1">
      <c r="A418" s="8"/>
      <c r="B418" s="11" t="str">
        <f>+IFERROR(VLOOKUP(C418,Listas!$L$8:$M$101,2,FALSE),"")</f>
        <v>03010102</v>
      </c>
      <c r="C418" s="334" t="s">
        <v>621</v>
      </c>
      <c r="D418" s="274"/>
      <c r="E418" s="275"/>
      <c r="F418" s="274"/>
      <c r="G418" s="416" t="s">
        <v>1365</v>
      </c>
      <c r="H418" s="9" t="str">
        <f>+IF(I418=""," ",VLOOKUP(I418,Listas!$I$8:$J$10,2,FALSE))</f>
        <v>02</v>
      </c>
      <c r="I418" s="495" t="s">
        <v>464</v>
      </c>
      <c r="J418" s="356">
        <f>+IF(K418=""," ",VLOOKUP(K418,PUC!$B:$C,2,FALSE))</f>
        <v>6208020501</v>
      </c>
      <c r="K418" s="334" t="s">
        <v>803</v>
      </c>
      <c r="L418" s="11" t="str">
        <f>+IF(M418=""," ",VLOOKUP(M418,Listas!$F$9:$G$17,2,FALSE))</f>
        <v>02</v>
      </c>
      <c r="M418" s="475" t="s">
        <v>444</v>
      </c>
      <c r="N418" s="345">
        <v>1500000</v>
      </c>
      <c r="O418" s="29"/>
      <c r="P418" s="30"/>
      <c r="Q418" s="30"/>
      <c r="R418" s="30"/>
      <c r="S418" s="30"/>
      <c r="T418" s="30"/>
      <c r="U418" s="30"/>
      <c r="V418" s="30"/>
      <c r="W418" s="30"/>
      <c r="X418" s="30"/>
      <c r="Y418" s="30"/>
      <c r="Z418" s="31"/>
      <c r="AA418" s="59"/>
    </row>
    <row r="419" spans="1:29" s="60" customFormat="1" ht="29.25" customHeight="1" thickBot="1">
      <c r="A419" s="8"/>
      <c r="B419" s="11" t="str">
        <f>+IFERROR(VLOOKUP(C419,Listas!$L$8:$M$101,2,FALSE),"")</f>
        <v>03010102</v>
      </c>
      <c r="C419" s="334" t="s">
        <v>621</v>
      </c>
      <c r="D419" s="274"/>
      <c r="E419" s="275"/>
      <c r="F419" s="274"/>
      <c r="G419" s="416" t="s">
        <v>1366</v>
      </c>
      <c r="H419" s="9" t="str">
        <f>+IF(I419=""," ",VLOOKUP(I419,Listas!$I$8:$J$10,2,FALSE))</f>
        <v>02</v>
      </c>
      <c r="I419" s="495" t="s">
        <v>464</v>
      </c>
      <c r="J419" s="356">
        <f>+IF(K419=""," ",VLOOKUP(K419,PUC!$B:$C,2,FALSE))</f>
        <v>6208021401</v>
      </c>
      <c r="K419" s="334" t="s">
        <v>868</v>
      </c>
      <c r="L419" s="11" t="str">
        <f>+IF(M419=""," ",VLOOKUP(M419,Listas!$F$9:$G$17,2,FALSE))</f>
        <v>02</v>
      </c>
      <c r="M419" s="475" t="s">
        <v>444</v>
      </c>
      <c r="N419" s="345">
        <v>200000</v>
      </c>
      <c r="O419" s="29"/>
      <c r="P419" s="30"/>
      <c r="Q419" s="30"/>
      <c r="R419" s="30"/>
      <c r="S419" s="30"/>
      <c r="T419" s="30"/>
      <c r="U419" s="30"/>
      <c r="V419" s="30"/>
      <c r="W419" s="30"/>
      <c r="X419" s="30"/>
      <c r="Y419" s="30"/>
      <c r="Z419" s="31"/>
      <c r="AA419" s="59"/>
    </row>
    <row r="420" spans="1:29" s="60" customFormat="1" ht="29.25" hidden="1" customHeight="1">
      <c r="A420" s="8"/>
      <c r="B420" s="11" t="str">
        <f>+IFERROR(VLOOKUP(C420,Listas!$L$8:$M$101,2,FALSE),"")</f>
        <v>03010102</v>
      </c>
      <c r="C420" s="334" t="s">
        <v>621</v>
      </c>
      <c r="D420" s="274"/>
      <c r="E420" s="275"/>
      <c r="F420" s="274"/>
      <c r="G420" s="275"/>
      <c r="H420" s="9" t="str">
        <f>+IF(I420=""," ",VLOOKUP(I420,Listas!$I$8:$J$10,2,FALSE))</f>
        <v xml:space="preserve"> </v>
      </c>
      <c r="I420" s="495"/>
      <c r="J420" s="356" t="str">
        <f>+IF(K420=""," ",VLOOKUP(K420,PUC!$B:$C,2,FALSE))</f>
        <v xml:space="preserve"> </v>
      </c>
      <c r="K420" s="334"/>
      <c r="L420" s="11" t="str">
        <f>+IF(M420=""," ",VLOOKUP(M420,Listas!$F$9:$G$17,2,FALSE))</f>
        <v xml:space="preserve"> </v>
      </c>
      <c r="M420" s="475"/>
      <c r="N420" s="345"/>
      <c r="O420" s="29"/>
      <c r="P420" s="30"/>
      <c r="Q420" s="30"/>
      <c r="R420" s="30"/>
      <c r="S420" s="30"/>
      <c r="T420" s="30"/>
      <c r="U420" s="30"/>
      <c r="V420" s="30"/>
      <c r="W420" s="30"/>
      <c r="X420" s="30"/>
      <c r="Y420" s="30"/>
      <c r="Z420" s="31"/>
      <c r="AA420" s="59"/>
    </row>
    <row r="421" spans="1:29" s="60" customFormat="1" ht="29.25" hidden="1" customHeight="1">
      <c r="A421" s="8"/>
      <c r="B421" s="11" t="str">
        <f>+IFERROR(VLOOKUP(C421,Listas!$L$8:$M$101,2,FALSE),"")</f>
        <v>03010102</v>
      </c>
      <c r="C421" s="334" t="s">
        <v>621</v>
      </c>
      <c r="D421" s="274"/>
      <c r="E421" s="275"/>
      <c r="F421" s="274"/>
      <c r="G421" s="275"/>
      <c r="H421" s="9" t="str">
        <f>+IF(I421=""," ",VLOOKUP(I421,Listas!$I$8:$J$10,2,FALSE))</f>
        <v xml:space="preserve"> </v>
      </c>
      <c r="I421" s="495"/>
      <c r="J421" s="356" t="str">
        <f>+IF(K421=""," ",VLOOKUP(K421,PUC!$B:$C,2,FALSE))</f>
        <v xml:space="preserve"> </v>
      </c>
      <c r="K421" s="334"/>
      <c r="L421" s="11" t="str">
        <f>+IF(M421=""," ",VLOOKUP(M421,Listas!$F$9:$G$17,2,FALSE))</f>
        <v xml:space="preserve"> </v>
      </c>
      <c r="M421" s="475"/>
      <c r="N421" s="345"/>
      <c r="O421" s="29"/>
      <c r="P421" s="30"/>
      <c r="Q421" s="30"/>
      <c r="R421" s="30"/>
      <c r="S421" s="30"/>
      <c r="T421" s="30"/>
      <c r="U421" s="30"/>
      <c r="V421" s="30"/>
      <c r="W421" s="30"/>
      <c r="X421" s="30"/>
      <c r="Y421" s="30"/>
      <c r="Z421" s="31"/>
      <c r="AA421" s="59"/>
    </row>
    <row r="422" spans="1:29" s="60" customFormat="1" ht="29.25" hidden="1" customHeight="1">
      <c r="A422" s="8"/>
      <c r="B422" s="11" t="str">
        <f>+IFERROR(VLOOKUP(C422,Listas!$L$8:$M$101,2,FALSE),"")</f>
        <v>03010102</v>
      </c>
      <c r="C422" s="334" t="s">
        <v>621</v>
      </c>
      <c r="D422" s="274"/>
      <c r="E422" s="275"/>
      <c r="F422" s="274"/>
      <c r="G422" s="275"/>
      <c r="H422" s="9" t="str">
        <f>+IF(I422=""," ",VLOOKUP(I422,Listas!$I$8:$J$10,2,FALSE))</f>
        <v xml:space="preserve"> </v>
      </c>
      <c r="I422" s="495"/>
      <c r="J422" s="356" t="str">
        <f>+IF(K422=""," ",VLOOKUP(K422,PUC!$B:$C,2,FALSE))</f>
        <v xml:space="preserve"> </v>
      </c>
      <c r="K422" s="334"/>
      <c r="L422" s="11" t="str">
        <f>+IF(M422=""," ",VLOOKUP(M422,Listas!$F$9:$G$17,2,FALSE))</f>
        <v xml:space="preserve"> </v>
      </c>
      <c r="M422" s="475"/>
      <c r="N422" s="345"/>
      <c r="O422" s="29"/>
      <c r="P422" s="30"/>
      <c r="Q422" s="30"/>
      <c r="R422" s="30"/>
      <c r="S422" s="30"/>
      <c r="T422" s="30"/>
      <c r="U422" s="30"/>
      <c r="V422" s="30"/>
      <c r="W422" s="30"/>
      <c r="X422" s="30"/>
      <c r="Y422" s="30"/>
      <c r="Z422" s="31"/>
      <c r="AA422" s="59"/>
    </row>
    <row r="423" spans="1:29" s="60" customFormat="1" ht="29.25" hidden="1" customHeight="1">
      <c r="A423" s="8"/>
      <c r="B423" s="11" t="str">
        <f>+IFERROR(VLOOKUP(C423,Listas!$L$8:$M$101,2,FALSE),"")</f>
        <v>03010102</v>
      </c>
      <c r="C423" s="334" t="s">
        <v>621</v>
      </c>
      <c r="D423" s="274"/>
      <c r="E423" s="275"/>
      <c r="F423" s="274"/>
      <c r="G423" s="275"/>
      <c r="H423" s="9" t="str">
        <f>+IF(I423=""," ",VLOOKUP(I423,Listas!$I$8:$J$10,2,FALSE))</f>
        <v xml:space="preserve"> </v>
      </c>
      <c r="I423" s="495"/>
      <c r="J423" s="356" t="str">
        <f>+IF(K423=""," ",VLOOKUP(K423,PUC!$B:$C,2,FALSE))</f>
        <v xml:space="preserve"> </v>
      </c>
      <c r="K423" s="334"/>
      <c r="L423" s="11" t="str">
        <f>+IF(M423=""," ",VLOOKUP(M423,Listas!$F$9:$G$17,2,FALSE))</f>
        <v xml:space="preserve"> </v>
      </c>
      <c r="M423" s="475"/>
      <c r="N423" s="345"/>
      <c r="O423" s="29"/>
      <c r="P423" s="30"/>
      <c r="Q423" s="30"/>
      <c r="R423" s="30"/>
      <c r="S423" s="30"/>
      <c r="T423" s="30"/>
      <c r="U423" s="30"/>
      <c r="V423" s="30"/>
      <c r="W423" s="30"/>
      <c r="X423" s="30"/>
      <c r="Y423" s="30"/>
      <c r="Z423" s="31"/>
      <c r="AA423" s="59"/>
    </row>
    <row r="424" spans="1:29" s="60" customFormat="1" ht="29.25" hidden="1" customHeight="1">
      <c r="A424" s="8"/>
      <c r="B424" s="11" t="str">
        <f>+IFERROR(VLOOKUP(C424,Listas!$L$8:$M$101,2,FALSE),"")</f>
        <v>03010102</v>
      </c>
      <c r="C424" s="334" t="s">
        <v>621</v>
      </c>
      <c r="D424" s="274"/>
      <c r="E424" s="275"/>
      <c r="F424" s="274"/>
      <c r="G424" s="275"/>
      <c r="H424" s="9" t="str">
        <f>+IF(I424=""," ",VLOOKUP(I424,Listas!$I$8:$J$10,2,FALSE))</f>
        <v xml:space="preserve"> </v>
      </c>
      <c r="I424" s="495"/>
      <c r="J424" s="356" t="str">
        <f>+IF(K424=""," ",VLOOKUP(K424,PUC!$B:$C,2,FALSE))</f>
        <v xml:space="preserve"> </v>
      </c>
      <c r="K424" s="334"/>
      <c r="L424" s="11" t="str">
        <f>+IF(M424=""," ",VLOOKUP(M424,Listas!$F$9:$G$17,2,FALSE))</f>
        <v xml:space="preserve"> </v>
      </c>
      <c r="M424" s="475"/>
      <c r="N424" s="345"/>
      <c r="O424" s="29"/>
      <c r="P424" s="30"/>
      <c r="Q424" s="30"/>
      <c r="R424" s="30"/>
      <c r="S424" s="30"/>
      <c r="T424" s="30"/>
      <c r="U424" s="30"/>
      <c r="V424" s="30"/>
      <c r="W424" s="30"/>
      <c r="X424" s="30"/>
      <c r="Y424" s="30"/>
      <c r="Z424" s="31"/>
      <c r="AA424" s="59"/>
    </row>
    <row r="425" spans="1:29" s="60" customFormat="1" ht="29.25" hidden="1" customHeight="1">
      <c r="A425" s="8"/>
      <c r="B425" s="11" t="str">
        <f>+IFERROR(VLOOKUP(C425,Listas!$L$8:$M$101,2,FALSE),"")</f>
        <v>03010102</v>
      </c>
      <c r="C425" s="334" t="s">
        <v>621</v>
      </c>
      <c r="D425" s="274"/>
      <c r="E425" s="275"/>
      <c r="F425" s="274"/>
      <c r="G425" s="275"/>
      <c r="H425" s="9" t="str">
        <f>+IF(I425=""," ",VLOOKUP(I425,Listas!$I$8:$J$10,2,FALSE))</f>
        <v xml:space="preserve"> </v>
      </c>
      <c r="I425" s="495"/>
      <c r="J425" s="356" t="str">
        <f>+IF(K425=""," ",VLOOKUP(K425,PUC!$B:$C,2,FALSE))</f>
        <v xml:space="preserve"> </v>
      </c>
      <c r="K425" s="334"/>
      <c r="L425" s="11" t="str">
        <f>+IF(M425=""," ",VLOOKUP(M425,Listas!$F$9:$G$17,2,FALSE))</f>
        <v xml:space="preserve"> </v>
      </c>
      <c r="M425" s="475"/>
      <c r="N425" s="345"/>
      <c r="O425" s="29"/>
      <c r="P425" s="30"/>
      <c r="Q425" s="30"/>
      <c r="R425" s="30"/>
      <c r="S425" s="30"/>
      <c r="T425" s="30"/>
      <c r="U425" s="30"/>
      <c r="V425" s="30"/>
      <c r="W425" s="30"/>
      <c r="X425" s="30"/>
      <c r="Y425" s="30"/>
      <c r="Z425" s="31"/>
      <c r="AA425" s="59"/>
    </row>
    <row r="426" spans="1:29" s="60" customFormat="1" ht="29.25" hidden="1" customHeight="1" thickBot="1">
      <c r="A426" s="8"/>
      <c r="B426" s="11" t="str">
        <f>+IFERROR(VLOOKUP(C426,Listas!$L$8:$M$101,2,FALSE),"")</f>
        <v/>
      </c>
      <c r="C426" s="334"/>
      <c r="D426" s="274"/>
      <c r="E426" s="275"/>
      <c r="F426" s="274"/>
      <c r="G426" s="275"/>
      <c r="H426" s="9" t="str">
        <f>+IF(I426=""," ",VLOOKUP(I426,Listas!$I$8:$J$10,2,FALSE))</f>
        <v xml:space="preserve"> </v>
      </c>
      <c r="I426" s="495"/>
      <c r="J426" s="356" t="str">
        <f>+IF(K426=""," ",VLOOKUP(K426,PUC!$B:$C,2,FALSE))</f>
        <v xml:space="preserve"> </v>
      </c>
      <c r="K426" s="334"/>
      <c r="L426" s="11" t="str">
        <f>+IF(M426=""," ",VLOOKUP(M426,Listas!$F$9:$G$17,2,FALSE))</f>
        <v xml:space="preserve"> </v>
      </c>
      <c r="M426" s="475"/>
      <c r="N426" s="345"/>
      <c r="O426" s="29"/>
      <c r="P426" s="30"/>
      <c r="Q426" s="30"/>
      <c r="R426" s="30"/>
      <c r="S426" s="30"/>
      <c r="T426" s="30"/>
      <c r="U426" s="30"/>
      <c r="V426" s="30"/>
      <c r="W426" s="30"/>
      <c r="X426" s="30"/>
      <c r="Y426" s="30"/>
      <c r="Z426" s="31"/>
      <c r="AA426" s="59"/>
    </row>
    <row r="427" spans="1:29" ht="26.25" customHeight="1" thickBot="1">
      <c r="A427" s="197"/>
      <c r="B427" s="638" t="s">
        <v>276</v>
      </c>
      <c r="C427" s="639"/>
      <c r="D427" s="639"/>
      <c r="E427" s="639"/>
      <c r="F427" s="639"/>
      <c r="G427" s="639"/>
      <c r="H427" s="639"/>
      <c r="I427" s="639"/>
      <c r="J427" s="639"/>
      <c r="K427" s="639"/>
      <c r="L427" s="639"/>
      <c r="M427" s="639"/>
      <c r="N427" s="684">
        <f>SUM(N14:N426)</f>
        <v>323544000</v>
      </c>
    </row>
    <row r="428" spans="1:29" ht="13.5" customHeight="1" thickBot="1">
      <c r="A428" s="6"/>
      <c r="B428" s="35"/>
      <c r="C428" s="287"/>
      <c r="D428" s="287"/>
      <c r="E428" s="287"/>
      <c r="F428" s="287"/>
      <c r="G428" s="287"/>
      <c r="H428" s="288"/>
      <c r="I428" s="506"/>
      <c r="J428" s="289"/>
      <c r="K428" s="391"/>
      <c r="L428" s="321"/>
      <c r="M428" s="485"/>
      <c r="N428" s="349"/>
    </row>
    <row r="429" spans="1:29" s="62" customFormat="1" ht="19.5" customHeight="1">
      <c r="A429" s="36"/>
      <c r="B429" s="37"/>
      <c r="C429" s="335"/>
      <c r="D429" s="38"/>
      <c r="F429" s="37"/>
      <c r="G429" s="38"/>
      <c r="H429" s="38"/>
      <c r="I429" s="507"/>
      <c r="J429" s="38"/>
      <c r="K429" s="393"/>
      <c r="L429" s="322"/>
      <c r="M429" s="486"/>
      <c r="N429" s="350"/>
      <c r="O429" s="40"/>
      <c r="P429" s="40"/>
      <c r="Q429" s="40"/>
      <c r="R429" s="40"/>
      <c r="S429" s="40"/>
      <c r="T429" s="40"/>
      <c r="U429" s="40"/>
      <c r="V429" s="40"/>
      <c r="W429" s="40"/>
      <c r="X429" s="40"/>
      <c r="Y429" s="40"/>
      <c r="Z429" s="39"/>
      <c r="AA429" s="55"/>
      <c r="AB429" s="54"/>
    </row>
    <row r="430" spans="1:29" s="62" customFormat="1" ht="34.5" customHeight="1">
      <c r="A430" s="36"/>
      <c r="B430" s="41" t="s">
        <v>10</v>
      </c>
      <c r="C430" s="336"/>
      <c r="D430" s="42"/>
      <c r="F430" s="273" t="s">
        <v>128</v>
      </c>
      <c r="G430" s="43"/>
      <c r="H430" s="43"/>
      <c r="I430" s="508"/>
      <c r="J430" s="43"/>
      <c r="K430" s="394" t="s">
        <v>11</v>
      </c>
      <c r="L430" s="323"/>
      <c r="M430" s="487"/>
      <c r="N430" s="351"/>
      <c r="O430" s="44"/>
      <c r="P430" s="44"/>
      <c r="Q430" s="45"/>
      <c r="R430" s="45"/>
      <c r="S430" s="45"/>
      <c r="T430" s="45"/>
      <c r="U430" s="45"/>
      <c r="V430" s="45"/>
      <c r="W430" s="45"/>
      <c r="X430" s="45"/>
      <c r="Y430" s="45"/>
      <c r="Z430" s="46"/>
      <c r="AA430" s="55"/>
      <c r="AB430" s="54"/>
      <c r="AC430" s="54"/>
    </row>
    <row r="431" spans="1:29" s="62" customFormat="1" ht="19.5" customHeight="1">
      <c r="A431" s="36"/>
      <c r="B431" s="41" t="str">
        <f>+INGRESOS!A112</f>
        <v>NOMBRE: LUISA FERNANDA HURTADO</v>
      </c>
      <c r="C431" s="337"/>
      <c r="D431" s="47"/>
      <c r="F431" s="41" t="str">
        <f>+INGRESOS!E112</f>
        <v>NOMBRE: LUISA FERNANDA HURTADO</v>
      </c>
      <c r="G431" s="42"/>
      <c r="H431" s="47"/>
      <c r="I431" s="509"/>
      <c r="J431" s="47"/>
      <c r="K431" s="395" t="s">
        <v>243</v>
      </c>
      <c r="L431" s="324" t="str">
        <f>+INGRESOS!J112</f>
        <v>Jaime Alonso Velez Mazo</v>
      </c>
      <c r="M431" s="488"/>
      <c r="N431" s="352"/>
      <c r="O431" s="48"/>
      <c r="P431" s="48"/>
      <c r="Q431" s="45"/>
      <c r="R431" s="45"/>
      <c r="S431" s="45"/>
      <c r="T431" s="45"/>
      <c r="U431" s="45"/>
      <c r="V431" s="45"/>
      <c r="W431" s="45"/>
      <c r="X431" s="45"/>
      <c r="Y431" s="45"/>
      <c r="Z431" s="46"/>
      <c r="AA431" s="55"/>
      <c r="AB431" s="54"/>
      <c r="AC431" s="54"/>
    </row>
    <row r="432" spans="1:29" s="62" customFormat="1" ht="19.5" customHeight="1">
      <c r="A432" s="36"/>
      <c r="B432" s="41" t="str">
        <f>+INGRESOS!A113</f>
        <v>CARGO: Decana</v>
      </c>
      <c r="C432" s="337"/>
      <c r="D432" s="47"/>
      <c r="F432" s="41" t="str">
        <f>+INGRESOS!E113</f>
        <v>CARGO: Decana</v>
      </c>
      <c r="G432" s="42"/>
      <c r="H432" s="47"/>
      <c r="I432" s="509"/>
      <c r="J432" s="47"/>
      <c r="K432" s="394" t="s">
        <v>242</v>
      </c>
      <c r="L432" s="324" t="str">
        <f>+INGRESOS!J113</f>
        <v>Asistente de Presidencia para Presupuesto</v>
      </c>
      <c r="M432" s="488"/>
      <c r="N432" s="352"/>
      <c r="O432" s="48"/>
      <c r="P432" s="48"/>
      <c r="Q432" s="45"/>
      <c r="R432" s="45"/>
      <c r="S432" s="45"/>
      <c r="T432" s="45"/>
      <c r="U432" s="45"/>
      <c r="V432" s="45"/>
      <c r="W432" s="45"/>
      <c r="X432" s="45"/>
      <c r="Y432" s="45"/>
      <c r="Z432" s="46"/>
      <c r="AA432" s="55"/>
      <c r="AB432" s="54"/>
      <c r="AC432" s="54"/>
    </row>
    <row r="433" spans="1:26" ht="19.5" customHeight="1">
      <c r="A433" s="6"/>
      <c r="B433" s="41" t="str">
        <f>+INGRESOS!A114</f>
        <v>FECHA: 22-08-2019</v>
      </c>
      <c r="C433" s="337"/>
      <c r="D433" s="47"/>
      <c r="F433" s="41" t="str">
        <f>+INGRESOS!E114</f>
        <v>FECHA: 22-08-2019</v>
      </c>
      <c r="G433" s="42"/>
      <c r="H433" s="47"/>
      <c r="I433" s="509"/>
      <c r="J433" s="47"/>
      <c r="K433" s="395" t="s">
        <v>232</v>
      </c>
      <c r="L433" s="532">
        <f>+INGRESOS!J114</f>
        <v>43699</v>
      </c>
      <c r="M433" s="488"/>
      <c r="N433" s="352"/>
      <c r="O433" s="48"/>
      <c r="P433" s="48"/>
      <c r="Q433" s="45"/>
      <c r="R433" s="45"/>
      <c r="S433" s="45"/>
      <c r="T433" s="45"/>
      <c r="U433" s="45"/>
      <c r="V433" s="45"/>
      <c r="W433" s="45"/>
      <c r="X433" s="45"/>
      <c r="Y433" s="45"/>
      <c r="Z433" s="46"/>
    </row>
    <row r="434" spans="1:26" ht="15.75" thickBot="1">
      <c r="A434" s="6"/>
      <c r="B434" s="49"/>
      <c r="C434" s="338"/>
      <c r="D434" s="50"/>
      <c r="F434" s="49"/>
      <c r="G434" s="50"/>
      <c r="H434" s="50"/>
      <c r="I434" s="510"/>
      <c r="J434" s="50"/>
      <c r="K434" s="396"/>
      <c r="L434" s="325"/>
      <c r="M434" s="489"/>
      <c r="N434" s="353"/>
      <c r="O434" s="52"/>
      <c r="P434" s="52"/>
      <c r="Q434" s="52"/>
      <c r="R434" s="52"/>
      <c r="S434" s="52"/>
      <c r="T434" s="52"/>
      <c r="U434" s="52"/>
      <c r="V434" s="52"/>
      <c r="W434" s="52"/>
      <c r="X434" s="52"/>
      <c r="Y434" s="52"/>
      <c r="Z434" s="51"/>
    </row>
    <row r="436" spans="1:26">
      <c r="N436" s="354">
        <f>+N427-'Total Presupuesto'!M42</f>
        <v>5464000</v>
      </c>
    </row>
  </sheetData>
  <mergeCells count="99">
    <mergeCell ref="F137:F143"/>
    <mergeCell ref="F144:F155"/>
    <mergeCell ref="F130:F131"/>
    <mergeCell ref="F126:F128"/>
    <mergeCell ref="F109:F110"/>
    <mergeCell ref="F111:F112"/>
    <mergeCell ref="F113:F114"/>
    <mergeCell ref="G113:G115"/>
    <mergeCell ref="F122:F125"/>
    <mergeCell ref="F101:F102"/>
    <mergeCell ref="F103:F104"/>
    <mergeCell ref="F105:F106"/>
    <mergeCell ref="F107:F108"/>
    <mergeCell ref="F86:F87"/>
    <mergeCell ref="F88:F89"/>
    <mergeCell ref="F51:F53"/>
    <mergeCell ref="D51:D53"/>
    <mergeCell ref="F62:F64"/>
    <mergeCell ref="F71:F72"/>
    <mergeCell ref="F73:F79"/>
    <mergeCell ref="F38:F40"/>
    <mergeCell ref="F41:F42"/>
    <mergeCell ref="F43:F46"/>
    <mergeCell ref="F47:F48"/>
    <mergeCell ref="F31:F37"/>
    <mergeCell ref="F20:F21"/>
    <mergeCell ref="F22:F24"/>
    <mergeCell ref="G16:G17"/>
    <mergeCell ref="F14:F17"/>
    <mergeCell ref="A10:N10"/>
    <mergeCell ref="H11:N11"/>
    <mergeCell ref="A7:N7"/>
    <mergeCell ref="I9:Z9"/>
    <mergeCell ref="B6:G6"/>
    <mergeCell ref="H6:K6"/>
    <mergeCell ref="L6:M6"/>
    <mergeCell ref="N6:Z6"/>
    <mergeCell ref="C9:G9"/>
    <mergeCell ref="C8:G8"/>
    <mergeCell ref="A1:Z1"/>
    <mergeCell ref="B2:Z2"/>
    <mergeCell ref="B3:Z3"/>
    <mergeCell ref="A4:N4"/>
    <mergeCell ref="A5:N5"/>
    <mergeCell ref="O11:Z11"/>
    <mergeCell ref="H12:I12"/>
    <mergeCell ref="J12:K12"/>
    <mergeCell ref="L12:M12"/>
    <mergeCell ref="N12:N13"/>
    <mergeCell ref="O12:O13"/>
    <mergeCell ref="P12:P13"/>
    <mergeCell ref="Q12:Q13"/>
    <mergeCell ref="B427:M427"/>
    <mergeCell ref="X12:X13"/>
    <mergeCell ref="Y12:Y13"/>
    <mergeCell ref="Z12:Z13"/>
    <mergeCell ref="F13:G13"/>
    <mergeCell ref="R12:R13"/>
    <mergeCell ref="S12:S13"/>
    <mergeCell ref="T12:T13"/>
    <mergeCell ref="U12:U13"/>
    <mergeCell ref="V12:V13"/>
    <mergeCell ref="W12:W13"/>
    <mergeCell ref="B11:C12"/>
    <mergeCell ref="D11:D13"/>
    <mergeCell ref="E11:E13"/>
    <mergeCell ref="F11:F12"/>
    <mergeCell ref="G11:G12"/>
    <mergeCell ref="F190:F194"/>
    <mergeCell ref="F205:F211"/>
    <mergeCell ref="F195:F196"/>
    <mergeCell ref="F198:F204"/>
    <mergeCell ref="F161:F163"/>
    <mergeCell ref="F188:F189"/>
    <mergeCell ref="F164:F170"/>
    <mergeCell ref="F171:F177"/>
    <mergeCell ref="F178:F187"/>
    <mergeCell ref="F212:F218"/>
    <mergeCell ref="F219:F225"/>
    <mergeCell ref="F226:F232"/>
    <mergeCell ref="F233:F239"/>
    <mergeCell ref="F251:F270"/>
    <mergeCell ref="F295:F296"/>
    <mergeCell ref="F298:F299"/>
    <mergeCell ref="F321:F324"/>
    <mergeCell ref="F331:F333"/>
    <mergeCell ref="F283:F284"/>
    <mergeCell ref="F291:F292"/>
    <mergeCell ref="F293:F294"/>
    <mergeCell ref="F340:F341"/>
    <mergeCell ref="F343:F345"/>
    <mergeCell ref="F346:F347"/>
    <mergeCell ref="F334:F338"/>
    <mergeCell ref="F359:F361"/>
    <mergeCell ref="F384:F389"/>
    <mergeCell ref="F391:F392"/>
    <mergeCell ref="F362:F364"/>
    <mergeCell ref="F365:F366"/>
    <mergeCell ref="F372:F383"/>
  </mergeCells>
  <dataValidations count="2">
    <dataValidation type="list" allowBlank="1" showInputMessage="1" showErrorMessage="1" sqref="K14:K160 K282:K426" xr:uid="{150EE5DE-0A67-4B35-83D6-D538D1046485}">
      <formula1>IF(I14="Gastos Pregrado",GtosPre,IF(I14="Inversión",Inversiones,InverPre))</formula1>
    </dataValidation>
    <dataValidation type="list" allowBlank="1" showInputMessage="1" showErrorMessage="1" sqref="K251:K281 K161:K239" xr:uid="{ACA26BB3-9718-4BFD-8885-47C0AF08E9C8}">
      <formula1>IF(I161="Gastos Investigación",GtosInves,IF(I161="Inversión",Inversiones,InverInvest))</formula1>
    </dataValidation>
  </dataValidations>
  <printOptions horizontalCentered="1"/>
  <pageMargins left="7.874015748031496E-2" right="7.874015748031496E-2" top="0.27559055118110237" bottom="0.27559055118110237" header="0.31496062992125984" footer="0.31496062992125984"/>
  <pageSetup scale="30" orientation="landscape" r:id="rId1"/>
  <extLst>
    <ext xmlns:x14="http://schemas.microsoft.com/office/spreadsheetml/2009/9/main" uri="{CCE6A557-97BC-4b89-ADB6-D9C93CAAB3DF}">
      <x14:dataValidations xmlns:xm="http://schemas.microsoft.com/office/excel/2006/main" count="5">
        <x14:dataValidation type="list" allowBlank="1" showInputMessage="1" showErrorMessage="1" xr:uid="{45082B65-F735-4B80-8660-C5A075B0548B}">
          <x14:formula1>
            <xm:f>Listas!$I$8:$I$10</xm:f>
          </x14:formula1>
          <xm:sqref>I14:I160 I282:I426</xm:sqref>
        </x14:dataValidation>
        <x14:dataValidation type="list" allowBlank="1" showInputMessage="1" showErrorMessage="1" xr:uid="{6EF12EFF-2838-49A4-A9F5-0194DC94EC01}">
          <x14:formula1>
            <xm:f>Listas!$I$12:$I$14</xm:f>
          </x14:formula1>
          <xm:sqref>I161:I239 I251:I281</xm:sqref>
        </x14:dataValidation>
        <x14:dataValidation type="list" allowBlank="1" showInputMessage="1" showErrorMessage="1" xr:uid="{7A9EEFCD-DF25-4E14-A7FB-6B18B334A07A}">
          <x14:formula1>
            <xm:f>Listas!$F$9:$F$17</xm:f>
          </x14:formula1>
          <xm:sqref>M14:M426</xm:sqref>
        </x14:dataValidation>
        <x14:dataValidation type="list" allowBlank="1" showInputMessage="1" showErrorMessage="1" xr:uid="{5ECCBA37-7B77-4DEE-AA0E-6AFF479119DE}">
          <x14:formula1>
            <xm:f>Listas!$L$8:$L$101</xm:f>
          </x14:formula1>
          <xm:sqref>C14:C402 C404:C426</xm:sqref>
        </x14:dataValidation>
        <x14:dataValidation type="list" allowBlank="1" showInputMessage="1" showErrorMessage="1" xr:uid="{6A500C9D-FF5F-471A-9A76-C88A107F55BE}">
          <x14:formula1>
            <xm:f>'D:\OneDrive - Universidad Libre\Presupuesto 2020\[Ppto 2020 - Ing Comercial.xlsx]Listas'!#REF!</xm:f>
          </x14:formula1>
          <xm:sqref>C403</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7:M101"/>
  <sheetViews>
    <sheetView showGridLines="0" topLeftCell="C7" workbookViewId="0">
      <selection activeCell="L14" sqref="L14:M14"/>
    </sheetView>
  </sheetViews>
  <sheetFormatPr baseColWidth="10" defaultRowHeight="15"/>
  <cols>
    <col min="1" max="1" width="16.28515625" customWidth="1"/>
    <col min="2" max="2" width="17.28515625" customWidth="1"/>
    <col min="5" max="5" width="4.42578125" customWidth="1"/>
    <col min="6" max="6" width="22.85546875" bestFit="1" customWidth="1"/>
    <col min="8" max="8" width="4.140625" customWidth="1"/>
    <col min="9" max="9" width="23.5703125" bestFit="1" customWidth="1"/>
    <col min="10" max="10" width="18.140625" bestFit="1" customWidth="1"/>
    <col min="12" max="12" width="44.7109375" customWidth="1"/>
  </cols>
  <sheetData>
    <row r="7" spans="1:13">
      <c r="A7" s="312" t="s">
        <v>283</v>
      </c>
      <c r="B7" s="313" t="s">
        <v>426</v>
      </c>
      <c r="C7" s="313" t="s">
        <v>427</v>
      </c>
      <c r="D7" s="312" t="s">
        <v>283</v>
      </c>
      <c r="F7" s="319" t="s">
        <v>441</v>
      </c>
      <c r="G7" s="319" t="s">
        <v>7</v>
      </c>
      <c r="I7" s="319" t="s">
        <v>7</v>
      </c>
      <c r="J7" s="319" t="s">
        <v>462</v>
      </c>
      <c r="L7" s="319" t="s">
        <v>619</v>
      </c>
      <c r="M7" s="319" t="s">
        <v>620</v>
      </c>
    </row>
    <row r="8" spans="1:13">
      <c r="A8" s="314" t="s">
        <v>284</v>
      </c>
      <c r="B8" s="314" t="s">
        <v>285</v>
      </c>
      <c r="C8" s="314" t="s">
        <v>142</v>
      </c>
      <c r="D8" s="314" t="s">
        <v>284</v>
      </c>
      <c r="F8" s="315" t="s">
        <v>442</v>
      </c>
      <c r="G8" s="316" t="s">
        <v>443</v>
      </c>
      <c r="I8" s="330" t="s">
        <v>464</v>
      </c>
      <c r="J8" s="331" t="s">
        <v>445</v>
      </c>
      <c r="L8" s="332" t="s">
        <v>471</v>
      </c>
      <c r="M8" s="333" t="s">
        <v>164</v>
      </c>
    </row>
    <row r="9" spans="1:13">
      <c r="A9" s="314" t="s">
        <v>284</v>
      </c>
      <c r="B9" s="314" t="s">
        <v>286</v>
      </c>
      <c r="C9" s="314" t="s">
        <v>143</v>
      </c>
      <c r="D9" s="314" t="s">
        <v>284</v>
      </c>
      <c r="F9" s="315" t="s">
        <v>444</v>
      </c>
      <c r="G9" s="316" t="s">
        <v>445</v>
      </c>
      <c r="I9" s="330" t="s">
        <v>465</v>
      </c>
      <c r="J9" s="331" t="s">
        <v>447</v>
      </c>
      <c r="L9" s="332" t="s">
        <v>472</v>
      </c>
      <c r="M9" s="333" t="s">
        <v>165</v>
      </c>
    </row>
    <row r="10" spans="1:13">
      <c r="A10" s="314" t="s">
        <v>284</v>
      </c>
      <c r="B10" s="314" t="s">
        <v>288</v>
      </c>
      <c r="C10" s="314" t="s">
        <v>287</v>
      </c>
      <c r="D10" s="314" t="s">
        <v>284</v>
      </c>
      <c r="F10" s="315" t="s">
        <v>446</v>
      </c>
      <c r="G10" s="316" t="s">
        <v>447</v>
      </c>
      <c r="I10" s="330" t="s">
        <v>466</v>
      </c>
      <c r="J10" s="331" t="s">
        <v>449</v>
      </c>
      <c r="L10" s="332" t="s">
        <v>473</v>
      </c>
      <c r="M10" s="333" t="s">
        <v>204</v>
      </c>
    </row>
    <row r="11" spans="1:13">
      <c r="A11" s="314" t="s">
        <v>284</v>
      </c>
      <c r="B11" s="314" t="s">
        <v>290</v>
      </c>
      <c r="C11" s="314" t="s">
        <v>289</v>
      </c>
      <c r="D11" s="314" t="s">
        <v>284</v>
      </c>
      <c r="F11" s="315" t="s">
        <v>448</v>
      </c>
      <c r="G11" s="316" t="s">
        <v>449</v>
      </c>
      <c r="I11" s="327" t="s">
        <v>463</v>
      </c>
      <c r="J11" s="328"/>
      <c r="L11" s="332" t="s">
        <v>474</v>
      </c>
      <c r="M11" s="333" t="s">
        <v>205</v>
      </c>
    </row>
    <row r="12" spans="1:13">
      <c r="A12" s="314" t="s">
        <v>284</v>
      </c>
      <c r="B12" s="314" t="s">
        <v>292</v>
      </c>
      <c r="C12" s="314" t="s">
        <v>291</v>
      </c>
      <c r="D12" s="314" t="s">
        <v>284</v>
      </c>
      <c r="F12" s="315" t="s">
        <v>450</v>
      </c>
      <c r="G12" s="316" t="s">
        <v>451</v>
      </c>
      <c r="I12" s="330" t="s">
        <v>467</v>
      </c>
      <c r="J12" s="331" t="s">
        <v>451</v>
      </c>
      <c r="L12" s="332" t="s">
        <v>475</v>
      </c>
      <c r="M12" s="333" t="s">
        <v>206</v>
      </c>
    </row>
    <row r="13" spans="1:13">
      <c r="A13" s="314" t="s">
        <v>284</v>
      </c>
      <c r="B13" s="314" t="s">
        <v>294</v>
      </c>
      <c r="C13" s="314" t="s">
        <v>293</v>
      </c>
      <c r="D13" s="314" t="s">
        <v>284</v>
      </c>
      <c r="F13" s="315" t="s">
        <v>452</v>
      </c>
      <c r="G13" s="316" t="s">
        <v>453</v>
      </c>
      <c r="I13" s="330" t="s">
        <v>468</v>
      </c>
      <c r="J13" s="331" t="s">
        <v>453</v>
      </c>
      <c r="L13" s="332" t="s">
        <v>476</v>
      </c>
      <c r="M13" s="333" t="s">
        <v>207</v>
      </c>
    </row>
    <row r="14" spans="1:13">
      <c r="A14" s="314" t="s">
        <v>284</v>
      </c>
      <c r="B14" s="314" t="s">
        <v>296</v>
      </c>
      <c r="C14" s="314" t="s">
        <v>295</v>
      </c>
      <c r="D14" s="314" t="s">
        <v>284</v>
      </c>
      <c r="F14" s="315" t="s">
        <v>454</v>
      </c>
      <c r="G14" s="316" t="s">
        <v>455</v>
      </c>
      <c r="I14" s="330" t="s">
        <v>465</v>
      </c>
      <c r="J14" s="331" t="s">
        <v>447</v>
      </c>
      <c r="L14" s="332" t="s">
        <v>1367</v>
      </c>
      <c r="M14" s="333" t="s">
        <v>1368</v>
      </c>
    </row>
    <row r="15" spans="1:13">
      <c r="A15" s="314" t="s">
        <v>297</v>
      </c>
      <c r="B15" s="314" t="s">
        <v>298</v>
      </c>
      <c r="C15" s="314" t="s">
        <v>144</v>
      </c>
      <c r="D15" s="314" t="s">
        <v>297</v>
      </c>
      <c r="F15" s="315" t="s">
        <v>456</v>
      </c>
      <c r="G15" s="316" t="s">
        <v>457</v>
      </c>
      <c r="L15" s="332" t="s">
        <v>477</v>
      </c>
      <c r="M15" s="333" t="s">
        <v>220</v>
      </c>
    </row>
    <row r="16" spans="1:13">
      <c r="A16" s="314" t="s">
        <v>297</v>
      </c>
      <c r="B16" s="314" t="s">
        <v>299</v>
      </c>
      <c r="C16" s="314" t="s">
        <v>145</v>
      </c>
      <c r="D16" s="314" t="s">
        <v>297</v>
      </c>
      <c r="F16" s="315" t="s">
        <v>458</v>
      </c>
      <c r="G16" s="316" t="s">
        <v>459</v>
      </c>
      <c r="I16" s="330" t="s">
        <v>469</v>
      </c>
      <c r="J16" s="331" t="s">
        <v>455</v>
      </c>
      <c r="L16" s="332" t="s">
        <v>478</v>
      </c>
      <c r="M16" s="333" t="s">
        <v>208</v>
      </c>
    </row>
    <row r="17" spans="1:13" ht="15.75" thickBot="1">
      <c r="A17" s="314" t="s">
        <v>297</v>
      </c>
      <c r="B17" s="314" t="s">
        <v>300</v>
      </c>
      <c r="C17" s="314" t="s">
        <v>146</v>
      </c>
      <c r="D17" s="314" t="s">
        <v>297</v>
      </c>
      <c r="F17" s="317" t="s">
        <v>460</v>
      </c>
      <c r="G17" s="318" t="s">
        <v>461</v>
      </c>
      <c r="I17" s="330" t="s">
        <v>465</v>
      </c>
      <c r="J17" s="331" t="s">
        <v>447</v>
      </c>
      <c r="L17" s="332" t="s">
        <v>480</v>
      </c>
      <c r="M17" s="333" t="s">
        <v>479</v>
      </c>
    </row>
    <row r="18" spans="1:13">
      <c r="A18" s="314" t="s">
        <v>297</v>
      </c>
      <c r="B18" s="314" t="s">
        <v>301</v>
      </c>
      <c r="C18" s="314" t="s">
        <v>147</v>
      </c>
      <c r="D18" s="314" t="s">
        <v>297</v>
      </c>
      <c r="L18" s="332" t="s">
        <v>481</v>
      </c>
      <c r="M18" s="333" t="s">
        <v>209</v>
      </c>
    </row>
    <row r="19" spans="1:13">
      <c r="A19" s="314" t="s">
        <v>297</v>
      </c>
      <c r="B19" s="314" t="s">
        <v>302</v>
      </c>
      <c r="C19" s="314" t="s">
        <v>203</v>
      </c>
      <c r="D19" s="314" t="s">
        <v>297</v>
      </c>
      <c r="I19" s="330" t="s">
        <v>470</v>
      </c>
      <c r="J19" s="331" t="s">
        <v>451</v>
      </c>
      <c r="L19" s="332" t="s">
        <v>482</v>
      </c>
      <c r="M19" s="333" t="s">
        <v>210</v>
      </c>
    </row>
    <row r="20" spans="1:13">
      <c r="A20" s="314" t="s">
        <v>297</v>
      </c>
      <c r="B20" s="314" t="s">
        <v>303</v>
      </c>
      <c r="C20" s="314" t="s">
        <v>148</v>
      </c>
      <c r="D20" s="314" t="s">
        <v>297</v>
      </c>
      <c r="I20" s="327" t="s">
        <v>463</v>
      </c>
      <c r="J20" s="328"/>
      <c r="L20" s="332" t="s">
        <v>483</v>
      </c>
      <c r="M20" s="333" t="s">
        <v>211</v>
      </c>
    </row>
    <row r="21" spans="1:13">
      <c r="A21" s="314" t="s">
        <v>297</v>
      </c>
      <c r="B21" s="314" t="s">
        <v>304</v>
      </c>
      <c r="C21" s="314" t="s">
        <v>149</v>
      </c>
      <c r="D21" s="314" t="s">
        <v>297</v>
      </c>
      <c r="I21" s="329" t="s">
        <v>463</v>
      </c>
      <c r="J21" s="329"/>
      <c r="L21" s="332" t="s">
        <v>485</v>
      </c>
      <c r="M21" s="333" t="s">
        <v>484</v>
      </c>
    </row>
    <row r="22" spans="1:13">
      <c r="A22" s="314" t="s">
        <v>297</v>
      </c>
      <c r="B22" s="314" t="s">
        <v>306</v>
      </c>
      <c r="C22" s="314" t="s">
        <v>305</v>
      </c>
      <c r="D22" s="314" t="s">
        <v>297</v>
      </c>
      <c r="I22" s="327" t="s">
        <v>463</v>
      </c>
      <c r="J22" s="328"/>
      <c r="L22" s="332" t="s">
        <v>487</v>
      </c>
      <c r="M22" s="333" t="s">
        <v>486</v>
      </c>
    </row>
    <row r="23" spans="1:13">
      <c r="A23" s="314" t="s">
        <v>297</v>
      </c>
      <c r="B23" s="314" t="s">
        <v>308</v>
      </c>
      <c r="C23" s="314" t="s">
        <v>307</v>
      </c>
      <c r="D23" s="314" t="s">
        <v>297</v>
      </c>
      <c r="I23" s="327" t="s">
        <v>463</v>
      </c>
      <c r="J23" s="328"/>
      <c r="L23" s="332" t="s">
        <v>488</v>
      </c>
      <c r="M23" s="333" t="s">
        <v>212</v>
      </c>
    </row>
    <row r="24" spans="1:13">
      <c r="A24" s="314" t="s">
        <v>297</v>
      </c>
      <c r="B24" s="314" t="s">
        <v>310</v>
      </c>
      <c r="C24" s="314" t="s">
        <v>309</v>
      </c>
      <c r="D24" s="314" t="s">
        <v>297</v>
      </c>
      <c r="I24" s="329" t="s">
        <v>463</v>
      </c>
      <c r="J24" s="329"/>
      <c r="L24" s="332" t="s">
        <v>490</v>
      </c>
      <c r="M24" s="333" t="s">
        <v>489</v>
      </c>
    </row>
    <row r="25" spans="1:13">
      <c r="A25" s="314" t="s">
        <v>297</v>
      </c>
      <c r="B25" s="314" t="s">
        <v>312</v>
      </c>
      <c r="C25" s="314" t="s">
        <v>311</v>
      </c>
      <c r="D25" s="314" t="s">
        <v>297</v>
      </c>
      <c r="L25" s="332" t="s">
        <v>491</v>
      </c>
      <c r="M25" s="333" t="s">
        <v>213</v>
      </c>
    </row>
    <row r="26" spans="1:13">
      <c r="A26" s="314" t="s">
        <v>297</v>
      </c>
      <c r="B26" s="314" t="s">
        <v>314</v>
      </c>
      <c r="C26" s="314" t="s">
        <v>313</v>
      </c>
      <c r="D26" s="314" t="s">
        <v>297</v>
      </c>
      <c r="L26" s="332" t="s">
        <v>492</v>
      </c>
      <c r="M26" s="333" t="s">
        <v>214</v>
      </c>
    </row>
    <row r="27" spans="1:13">
      <c r="A27" s="314" t="s">
        <v>297</v>
      </c>
      <c r="B27" s="314" t="s">
        <v>316</v>
      </c>
      <c r="C27" s="314" t="s">
        <v>315</v>
      </c>
      <c r="D27" s="314" t="s">
        <v>297</v>
      </c>
      <c r="L27" s="332" t="s">
        <v>493</v>
      </c>
      <c r="M27" s="333" t="s">
        <v>215</v>
      </c>
    </row>
    <row r="28" spans="1:13">
      <c r="A28" s="314" t="s">
        <v>297</v>
      </c>
      <c r="B28" s="314" t="s">
        <v>318</v>
      </c>
      <c r="C28" s="314" t="s">
        <v>317</v>
      </c>
      <c r="D28" s="314" t="s">
        <v>297</v>
      </c>
      <c r="L28" s="332" t="s">
        <v>495</v>
      </c>
      <c r="M28" s="333" t="s">
        <v>494</v>
      </c>
    </row>
    <row r="29" spans="1:13">
      <c r="A29" s="314" t="s">
        <v>297</v>
      </c>
      <c r="B29" s="314" t="s">
        <v>320</v>
      </c>
      <c r="C29" s="314" t="s">
        <v>319</v>
      </c>
      <c r="D29" s="314" t="s">
        <v>297</v>
      </c>
      <c r="L29" s="332" t="s">
        <v>497</v>
      </c>
      <c r="M29" s="333" t="s">
        <v>496</v>
      </c>
    </row>
    <row r="30" spans="1:13">
      <c r="A30" s="314" t="s">
        <v>297</v>
      </c>
      <c r="B30" s="314" t="s">
        <v>322</v>
      </c>
      <c r="C30" s="314" t="s">
        <v>321</v>
      </c>
      <c r="D30" s="314" t="s">
        <v>297</v>
      </c>
      <c r="L30" s="332" t="s">
        <v>499</v>
      </c>
      <c r="M30" s="333" t="s">
        <v>498</v>
      </c>
    </row>
    <row r="31" spans="1:13">
      <c r="A31" s="314" t="s">
        <v>297</v>
      </c>
      <c r="B31" s="314" t="s">
        <v>324</v>
      </c>
      <c r="C31" s="314" t="s">
        <v>323</v>
      </c>
      <c r="D31" s="314" t="s">
        <v>297</v>
      </c>
      <c r="L31" s="332" t="s">
        <v>501</v>
      </c>
      <c r="M31" s="333" t="s">
        <v>500</v>
      </c>
    </row>
    <row r="32" spans="1:13">
      <c r="A32" s="314" t="s">
        <v>297</v>
      </c>
      <c r="B32" s="314" t="s">
        <v>326</v>
      </c>
      <c r="C32" s="314" t="s">
        <v>325</v>
      </c>
      <c r="D32" s="314" t="s">
        <v>297</v>
      </c>
      <c r="L32" s="332" t="s">
        <v>503</v>
      </c>
      <c r="M32" s="333" t="s">
        <v>502</v>
      </c>
    </row>
    <row r="33" spans="1:13">
      <c r="A33" s="314" t="s">
        <v>297</v>
      </c>
      <c r="B33" s="314" t="s">
        <v>328</v>
      </c>
      <c r="C33" s="314" t="s">
        <v>327</v>
      </c>
      <c r="D33" s="314" t="s">
        <v>297</v>
      </c>
      <c r="L33" s="332" t="s">
        <v>505</v>
      </c>
      <c r="M33" s="333" t="s">
        <v>504</v>
      </c>
    </row>
    <row r="34" spans="1:13">
      <c r="A34" s="314" t="s">
        <v>329</v>
      </c>
      <c r="B34" s="314" t="s">
        <v>330</v>
      </c>
      <c r="C34" s="314" t="s">
        <v>150</v>
      </c>
      <c r="D34" s="314" t="s">
        <v>329</v>
      </c>
      <c r="L34" s="332" t="s">
        <v>507</v>
      </c>
      <c r="M34" s="333" t="s">
        <v>506</v>
      </c>
    </row>
    <row r="35" spans="1:13">
      <c r="A35" s="314" t="s">
        <v>329</v>
      </c>
      <c r="B35" s="314" t="s">
        <v>331</v>
      </c>
      <c r="C35" s="314" t="s">
        <v>151</v>
      </c>
      <c r="D35" s="314" t="s">
        <v>329</v>
      </c>
      <c r="L35" s="332" t="s">
        <v>508</v>
      </c>
      <c r="M35" s="333" t="s">
        <v>216</v>
      </c>
    </row>
    <row r="36" spans="1:13">
      <c r="A36" s="314" t="s">
        <v>329</v>
      </c>
      <c r="B36" s="314" t="s">
        <v>332</v>
      </c>
      <c r="C36" s="314" t="s">
        <v>152</v>
      </c>
      <c r="D36" s="314" t="s">
        <v>329</v>
      </c>
      <c r="L36" s="332" t="s">
        <v>509</v>
      </c>
      <c r="M36" s="333" t="s">
        <v>217</v>
      </c>
    </row>
    <row r="37" spans="1:13">
      <c r="A37" s="314" t="s">
        <v>329</v>
      </c>
      <c r="B37" s="314" t="s">
        <v>333</v>
      </c>
      <c r="C37" s="314" t="s">
        <v>153</v>
      </c>
      <c r="D37" s="314" t="s">
        <v>329</v>
      </c>
      <c r="L37" s="332" t="s">
        <v>510</v>
      </c>
      <c r="M37" s="333" t="s">
        <v>235</v>
      </c>
    </row>
    <row r="38" spans="1:13">
      <c r="A38" s="314" t="s">
        <v>329</v>
      </c>
      <c r="B38" s="314" t="s">
        <v>335</v>
      </c>
      <c r="C38" s="314" t="s">
        <v>334</v>
      </c>
      <c r="D38" s="314" t="s">
        <v>329</v>
      </c>
      <c r="L38" s="332" t="s">
        <v>511</v>
      </c>
      <c r="M38" s="333" t="s">
        <v>234</v>
      </c>
    </row>
    <row r="39" spans="1:13">
      <c r="A39" s="314" t="s">
        <v>329</v>
      </c>
      <c r="B39" s="314" t="s">
        <v>337</v>
      </c>
      <c r="C39" s="314" t="s">
        <v>336</v>
      </c>
      <c r="D39" s="314" t="s">
        <v>329</v>
      </c>
      <c r="L39" s="332" t="s">
        <v>512</v>
      </c>
      <c r="M39" s="333" t="s">
        <v>236</v>
      </c>
    </row>
    <row r="40" spans="1:13">
      <c r="A40" s="314" t="s">
        <v>329</v>
      </c>
      <c r="B40" s="314" t="s">
        <v>339</v>
      </c>
      <c r="C40" s="314" t="s">
        <v>338</v>
      </c>
      <c r="D40" s="314" t="s">
        <v>329</v>
      </c>
      <c r="L40" s="332" t="s">
        <v>513</v>
      </c>
      <c r="M40" s="333" t="s">
        <v>237</v>
      </c>
    </row>
    <row r="41" spans="1:13">
      <c r="A41" s="314" t="s">
        <v>329</v>
      </c>
      <c r="B41" s="314" t="s">
        <v>341</v>
      </c>
      <c r="C41" s="314" t="s">
        <v>340</v>
      </c>
      <c r="D41" s="314" t="s">
        <v>329</v>
      </c>
      <c r="L41" s="332" t="s">
        <v>514</v>
      </c>
      <c r="M41" s="333" t="s">
        <v>238</v>
      </c>
    </row>
    <row r="42" spans="1:13">
      <c r="A42" s="314" t="s">
        <v>329</v>
      </c>
      <c r="B42" s="314" t="s">
        <v>343</v>
      </c>
      <c r="C42" s="314" t="s">
        <v>342</v>
      </c>
      <c r="D42" s="314" t="s">
        <v>329</v>
      </c>
      <c r="L42" s="332" t="s">
        <v>258</v>
      </c>
      <c r="M42" s="333" t="s">
        <v>257</v>
      </c>
    </row>
    <row r="43" spans="1:13">
      <c r="A43" s="314" t="s">
        <v>329</v>
      </c>
      <c r="B43" s="314" t="s">
        <v>345</v>
      </c>
      <c r="C43" s="314" t="s">
        <v>344</v>
      </c>
      <c r="D43" s="314" t="s">
        <v>329</v>
      </c>
      <c r="L43" s="332" t="s">
        <v>260</v>
      </c>
      <c r="M43" s="333" t="s">
        <v>259</v>
      </c>
    </row>
    <row r="44" spans="1:13">
      <c r="A44" s="314" t="s">
        <v>329</v>
      </c>
      <c r="B44" s="314" t="s">
        <v>349</v>
      </c>
      <c r="C44" s="314" t="s">
        <v>348</v>
      </c>
      <c r="D44" s="314" t="s">
        <v>329</v>
      </c>
      <c r="L44" s="332" t="s">
        <v>262</v>
      </c>
      <c r="M44" s="333" t="s">
        <v>261</v>
      </c>
    </row>
    <row r="45" spans="1:13">
      <c r="A45" s="314" t="s">
        <v>350</v>
      </c>
      <c r="B45" s="314" t="s">
        <v>351</v>
      </c>
      <c r="C45" s="314" t="s">
        <v>154</v>
      </c>
      <c r="D45" s="314" t="s">
        <v>350</v>
      </c>
      <c r="L45" s="332" t="s">
        <v>263</v>
      </c>
      <c r="M45" s="333" t="s">
        <v>515</v>
      </c>
    </row>
    <row r="46" spans="1:13">
      <c r="A46" s="314" t="s">
        <v>350</v>
      </c>
      <c r="B46" s="314" t="s">
        <v>352</v>
      </c>
      <c r="C46" s="314" t="s">
        <v>155</v>
      </c>
      <c r="D46" s="314" t="s">
        <v>350</v>
      </c>
      <c r="L46" s="332" t="s">
        <v>516</v>
      </c>
      <c r="M46" s="333" t="s">
        <v>239</v>
      </c>
    </row>
    <row r="47" spans="1:13">
      <c r="A47" s="314" t="s">
        <v>350</v>
      </c>
      <c r="B47" s="314" t="s">
        <v>353</v>
      </c>
      <c r="C47" s="314" t="s">
        <v>156</v>
      </c>
      <c r="D47" s="314" t="s">
        <v>350</v>
      </c>
      <c r="L47" s="332" t="s">
        <v>517</v>
      </c>
      <c r="M47" s="333" t="s">
        <v>240</v>
      </c>
    </row>
    <row r="48" spans="1:13">
      <c r="A48" s="314" t="s">
        <v>350</v>
      </c>
      <c r="B48" s="314" t="s">
        <v>354</v>
      </c>
      <c r="C48" s="314" t="s">
        <v>157</v>
      </c>
      <c r="D48" s="314" t="s">
        <v>350</v>
      </c>
      <c r="L48" s="332" t="s">
        <v>518</v>
      </c>
      <c r="M48" s="333" t="s">
        <v>218</v>
      </c>
    </row>
    <row r="49" spans="1:13">
      <c r="A49" s="314" t="s">
        <v>350</v>
      </c>
      <c r="B49" s="314" t="s">
        <v>355</v>
      </c>
      <c r="C49" s="314" t="s">
        <v>158</v>
      </c>
      <c r="D49" s="314" t="s">
        <v>350</v>
      </c>
      <c r="L49" s="332" t="s">
        <v>519</v>
      </c>
      <c r="M49" s="333" t="s">
        <v>241</v>
      </c>
    </row>
    <row r="50" spans="1:13">
      <c r="A50" s="314" t="s">
        <v>350</v>
      </c>
      <c r="B50" s="314" t="s">
        <v>346</v>
      </c>
      <c r="C50" s="314" t="s">
        <v>159</v>
      </c>
      <c r="D50" s="314" t="s">
        <v>350</v>
      </c>
      <c r="L50" s="332" t="s">
        <v>520</v>
      </c>
      <c r="M50" s="333" t="s">
        <v>219</v>
      </c>
    </row>
    <row r="51" spans="1:13">
      <c r="A51" s="314" t="s">
        <v>350</v>
      </c>
      <c r="B51" s="314" t="s">
        <v>357</v>
      </c>
      <c r="C51" s="314" t="s">
        <v>356</v>
      </c>
      <c r="D51" s="314" t="s">
        <v>350</v>
      </c>
      <c r="L51" s="332" t="s">
        <v>522</v>
      </c>
      <c r="M51" s="333" t="s">
        <v>521</v>
      </c>
    </row>
    <row r="52" spans="1:13">
      <c r="A52" s="314" t="s">
        <v>350</v>
      </c>
      <c r="B52" s="314" t="s">
        <v>359</v>
      </c>
      <c r="C52" s="314" t="s">
        <v>358</v>
      </c>
      <c r="D52" s="314" t="s">
        <v>350</v>
      </c>
      <c r="L52" s="332" t="s">
        <v>524</v>
      </c>
      <c r="M52" s="333" t="s">
        <v>523</v>
      </c>
    </row>
    <row r="53" spans="1:13">
      <c r="A53" s="314" t="s">
        <v>350</v>
      </c>
      <c r="B53" s="314" t="s">
        <v>347</v>
      </c>
      <c r="C53" s="314" t="s">
        <v>360</v>
      </c>
      <c r="D53" s="314" t="s">
        <v>350</v>
      </c>
      <c r="L53" s="332" t="s">
        <v>526</v>
      </c>
      <c r="M53" s="333" t="s">
        <v>525</v>
      </c>
    </row>
    <row r="54" spans="1:13">
      <c r="A54" s="314" t="s">
        <v>361</v>
      </c>
      <c r="B54" s="314" t="s">
        <v>362</v>
      </c>
      <c r="C54" s="314" t="s">
        <v>162</v>
      </c>
      <c r="D54" s="314" t="s">
        <v>361</v>
      </c>
      <c r="L54" s="332" t="s">
        <v>528</v>
      </c>
      <c r="M54" s="333" t="s">
        <v>527</v>
      </c>
    </row>
    <row r="55" spans="1:13">
      <c r="A55" s="314" t="s">
        <v>363</v>
      </c>
      <c r="B55" s="314" t="s">
        <v>364</v>
      </c>
      <c r="C55" s="314" t="s">
        <v>163</v>
      </c>
      <c r="D55" s="314" t="s">
        <v>363</v>
      </c>
      <c r="L55" s="332" t="s">
        <v>530</v>
      </c>
      <c r="M55" s="333" t="s">
        <v>529</v>
      </c>
    </row>
    <row r="56" spans="1:13">
      <c r="A56" s="314" t="s">
        <v>365</v>
      </c>
      <c r="B56" s="314" t="s">
        <v>366</v>
      </c>
      <c r="C56" s="314" t="s">
        <v>166</v>
      </c>
      <c r="D56" s="314" t="s">
        <v>365</v>
      </c>
      <c r="L56" s="332" t="s">
        <v>532</v>
      </c>
      <c r="M56" s="333" t="s">
        <v>531</v>
      </c>
    </row>
    <row r="57" spans="1:13">
      <c r="A57" s="314" t="s">
        <v>367</v>
      </c>
      <c r="B57" s="314" t="s">
        <v>369</v>
      </c>
      <c r="C57" s="314" t="s">
        <v>368</v>
      </c>
      <c r="D57" s="314" t="s">
        <v>367</v>
      </c>
      <c r="L57" s="332" t="s">
        <v>534</v>
      </c>
      <c r="M57" s="333" t="s">
        <v>533</v>
      </c>
    </row>
    <row r="58" spans="1:13">
      <c r="A58" s="314" t="s">
        <v>367</v>
      </c>
      <c r="B58" s="314" t="s">
        <v>371</v>
      </c>
      <c r="C58" s="314" t="s">
        <v>370</v>
      </c>
      <c r="D58" s="314" t="s">
        <v>367</v>
      </c>
      <c r="L58" s="332" t="s">
        <v>536</v>
      </c>
      <c r="M58" s="333" t="s">
        <v>535</v>
      </c>
    </row>
    <row r="59" spans="1:13">
      <c r="A59" s="314" t="s">
        <v>367</v>
      </c>
      <c r="B59" s="314" t="s">
        <v>373</v>
      </c>
      <c r="C59" s="314" t="s">
        <v>372</v>
      </c>
      <c r="D59" s="314" t="s">
        <v>367</v>
      </c>
      <c r="L59" s="332" t="s">
        <v>538</v>
      </c>
      <c r="M59" s="333" t="s">
        <v>537</v>
      </c>
    </row>
    <row r="60" spans="1:13">
      <c r="A60" s="314" t="s">
        <v>367</v>
      </c>
      <c r="B60" s="314" t="s">
        <v>375</v>
      </c>
      <c r="C60" s="314" t="s">
        <v>374</v>
      </c>
      <c r="D60" s="314" t="s">
        <v>367</v>
      </c>
      <c r="L60" s="332" t="s">
        <v>540</v>
      </c>
      <c r="M60" s="333" t="s">
        <v>539</v>
      </c>
    </row>
    <row r="61" spans="1:13">
      <c r="A61" s="314" t="s">
        <v>367</v>
      </c>
      <c r="B61" s="314" t="s">
        <v>377</v>
      </c>
      <c r="C61" s="314" t="s">
        <v>376</v>
      </c>
      <c r="D61" s="314" t="s">
        <v>367</v>
      </c>
      <c r="L61" s="332" t="s">
        <v>542</v>
      </c>
      <c r="M61" s="333" t="s">
        <v>541</v>
      </c>
    </row>
    <row r="62" spans="1:13">
      <c r="A62" s="314" t="s">
        <v>367</v>
      </c>
      <c r="B62" s="314" t="s">
        <v>379</v>
      </c>
      <c r="C62" s="314" t="s">
        <v>378</v>
      </c>
      <c r="D62" s="314" t="s">
        <v>367</v>
      </c>
      <c r="L62" s="332" t="s">
        <v>544</v>
      </c>
      <c r="M62" s="333" t="s">
        <v>543</v>
      </c>
    </row>
    <row r="63" spans="1:13">
      <c r="A63" s="314" t="s">
        <v>380</v>
      </c>
      <c r="B63" s="314" t="s">
        <v>381</v>
      </c>
      <c r="C63" s="314" t="s">
        <v>167</v>
      </c>
      <c r="D63" s="314" t="s">
        <v>380</v>
      </c>
      <c r="L63" s="332" t="s">
        <v>546</v>
      </c>
      <c r="M63" s="333" t="s">
        <v>545</v>
      </c>
    </row>
    <row r="64" spans="1:13">
      <c r="A64" s="314" t="s">
        <v>380</v>
      </c>
      <c r="B64" s="314" t="s">
        <v>382</v>
      </c>
      <c r="C64" s="314" t="s">
        <v>168</v>
      </c>
      <c r="D64" s="314" t="s">
        <v>380</v>
      </c>
      <c r="L64" s="332" t="s">
        <v>548</v>
      </c>
      <c r="M64" s="333" t="s">
        <v>547</v>
      </c>
    </row>
    <row r="65" spans="1:13">
      <c r="A65" s="314" t="s">
        <v>380</v>
      </c>
      <c r="B65" s="314" t="s">
        <v>383</v>
      </c>
      <c r="C65" s="314" t="s">
        <v>169</v>
      </c>
      <c r="D65" s="314" t="s">
        <v>380</v>
      </c>
      <c r="L65" s="332" t="s">
        <v>550</v>
      </c>
      <c r="M65" s="333" t="s">
        <v>549</v>
      </c>
    </row>
    <row r="66" spans="1:13">
      <c r="A66" s="314" t="s">
        <v>380</v>
      </c>
      <c r="B66" s="314" t="s">
        <v>384</v>
      </c>
      <c r="C66" s="314" t="s">
        <v>170</v>
      </c>
      <c r="D66" s="314" t="s">
        <v>380</v>
      </c>
      <c r="L66" s="332" t="s">
        <v>552</v>
      </c>
      <c r="M66" s="333" t="s">
        <v>551</v>
      </c>
    </row>
    <row r="67" spans="1:13">
      <c r="A67" s="314" t="s">
        <v>380</v>
      </c>
      <c r="B67" s="314" t="s">
        <v>385</v>
      </c>
      <c r="C67" s="314" t="s">
        <v>171</v>
      </c>
      <c r="D67" s="314" t="s">
        <v>380</v>
      </c>
      <c r="L67" s="332" t="s">
        <v>554</v>
      </c>
      <c r="M67" s="333" t="s">
        <v>553</v>
      </c>
    </row>
    <row r="68" spans="1:13">
      <c r="A68" s="314" t="s">
        <v>380</v>
      </c>
      <c r="B68" s="314" t="s">
        <v>386</v>
      </c>
      <c r="C68" s="314" t="s">
        <v>172</v>
      </c>
      <c r="D68" s="314" t="s">
        <v>380</v>
      </c>
      <c r="L68" s="332" t="s">
        <v>556</v>
      </c>
      <c r="M68" s="333" t="s">
        <v>555</v>
      </c>
    </row>
    <row r="69" spans="1:13">
      <c r="A69" s="314" t="s">
        <v>387</v>
      </c>
      <c r="B69" s="314" t="s">
        <v>388</v>
      </c>
      <c r="C69" s="314" t="s">
        <v>173</v>
      </c>
      <c r="D69" s="314" t="s">
        <v>387</v>
      </c>
      <c r="L69" s="332" t="s">
        <v>558</v>
      </c>
      <c r="M69" s="333" t="s">
        <v>557</v>
      </c>
    </row>
    <row r="70" spans="1:13">
      <c r="A70" s="314" t="s">
        <v>387</v>
      </c>
      <c r="B70" s="314" t="s">
        <v>389</v>
      </c>
      <c r="C70" s="314" t="s">
        <v>174</v>
      </c>
      <c r="D70" s="314" t="s">
        <v>387</v>
      </c>
      <c r="L70" s="332" t="s">
        <v>560</v>
      </c>
      <c r="M70" s="333" t="s">
        <v>559</v>
      </c>
    </row>
    <row r="71" spans="1:13">
      <c r="A71" s="314" t="s">
        <v>387</v>
      </c>
      <c r="B71" s="314" t="s">
        <v>390</v>
      </c>
      <c r="C71" s="314" t="s">
        <v>175</v>
      </c>
      <c r="D71" s="314" t="s">
        <v>387</v>
      </c>
      <c r="L71" s="332" t="s">
        <v>562</v>
      </c>
      <c r="M71" s="333" t="s">
        <v>561</v>
      </c>
    </row>
    <row r="72" spans="1:13">
      <c r="A72" s="314" t="s">
        <v>387</v>
      </c>
      <c r="B72" s="314" t="s">
        <v>391</v>
      </c>
      <c r="C72" s="314" t="s">
        <v>176</v>
      </c>
      <c r="D72" s="314" t="s">
        <v>387</v>
      </c>
      <c r="L72" s="332" t="s">
        <v>564</v>
      </c>
      <c r="M72" s="333" t="s">
        <v>563</v>
      </c>
    </row>
    <row r="73" spans="1:13">
      <c r="A73" s="314" t="s">
        <v>387</v>
      </c>
      <c r="B73" s="314" t="s">
        <v>392</v>
      </c>
      <c r="C73" s="314" t="s">
        <v>177</v>
      </c>
      <c r="D73" s="314" t="s">
        <v>387</v>
      </c>
      <c r="L73" s="332" t="s">
        <v>566</v>
      </c>
      <c r="M73" s="333" t="s">
        <v>565</v>
      </c>
    </row>
    <row r="74" spans="1:13">
      <c r="A74" s="314" t="s">
        <v>393</v>
      </c>
      <c r="B74" s="314" t="s">
        <v>394</v>
      </c>
      <c r="C74" s="314" t="s">
        <v>178</v>
      </c>
      <c r="D74" s="314" t="s">
        <v>393</v>
      </c>
      <c r="L74" s="332" t="s">
        <v>568</v>
      </c>
      <c r="M74" s="333" t="s">
        <v>567</v>
      </c>
    </row>
    <row r="75" spans="1:13">
      <c r="A75" s="314" t="s">
        <v>393</v>
      </c>
      <c r="B75" s="314" t="s">
        <v>395</v>
      </c>
      <c r="C75" s="314" t="s">
        <v>179</v>
      </c>
      <c r="D75" s="314" t="s">
        <v>393</v>
      </c>
      <c r="L75" s="332" t="s">
        <v>570</v>
      </c>
      <c r="M75" s="333" t="s">
        <v>569</v>
      </c>
    </row>
    <row r="76" spans="1:13">
      <c r="A76" s="314" t="s">
        <v>393</v>
      </c>
      <c r="B76" s="314" t="s">
        <v>396</v>
      </c>
      <c r="C76" s="314" t="s">
        <v>180</v>
      </c>
      <c r="D76" s="314" t="s">
        <v>393</v>
      </c>
      <c r="L76" s="332" t="s">
        <v>572</v>
      </c>
      <c r="M76" s="333" t="s">
        <v>571</v>
      </c>
    </row>
    <row r="77" spans="1:13">
      <c r="A77" s="314" t="s">
        <v>393</v>
      </c>
      <c r="B77" s="314" t="s">
        <v>397</v>
      </c>
      <c r="C77" s="314" t="s">
        <v>181</v>
      </c>
      <c r="D77" s="314" t="s">
        <v>393</v>
      </c>
      <c r="L77" s="332" t="s">
        <v>574</v>
      </c>
      <c r="M77" s="333" t="s">
        <v>573</v>
      </c>
    </row>
    <row r="78" spans="1:13">
      <c r="A78" s="314" t="s">
        <v>393</v>
      </c>
      <c r="B78" s="314" t="s">
        <v>398</v>
      </c>
      <c r="C78" s="314" t="s">
        <v>182</v>
      </c>
      <c r="D78" s="314" t="s">
        <v>393</v>
      </c>
      <c r="L78" s="332" t="s">
        <v>576</v>
      </c>
      <c r="M78" s="333" t="s">
        <v>575</v>
      </c>
    </row>
    <row r="79" spans="1:13">
      <c r="A79" s="314" t="s">
        <v>393</v>
      </c>
      <c r="B79" s="314" t="s">
        <v>399</v>
      </c>
      <c r="C79" s="314" t="s">
        <v>183</v>
      </c>
      <c r="D79" s="314" t="s">
        <v>393</v>
      </c>
      <c r="L79" s="332" t="s">
        <v>578</v>
      </c>
      <c r="M79" s="333" t="s">
        <v>577</v>
      </c>
    </row>
    <row r="80" spans="1:13">
      <c r="A80" s="314" t="s">
        <v>393</v>
      </c>
      <c r="B80" s="314" t="s">
        <v>400</v>
      </c>
      <c r="C80" s="314" t="s">
        <v>184</v>
      </c>
      <c r="D80" s="314" t="s">
        <v>393</v>
      </c>
      <c r="L80" s="332" t="s">
        <v>580</v>
      </c>
      <c r="M80" s="333" t="s">
        <v>579</v>
      </c>
    </row>
    <row r="81" spans="1:13">
      <c r="A81" s="314" t="s">
        <v>393</v>
      </c>
      <c r="B81" s="314" t="s">
        <v>401</v>
      </c>
      <c r="C81" s="314" t="s">
        <v>185</v>
      </c>
      <c r="D81" s="314" t="s">
        <v>393</v>
      </c>
      <c r="L81" s="332" t="s">
        <v>582</v>
      </c>
      <c r="M81" s="333" t="s">
        <v>581</v>
      </c>
    </row>
    <row r="82" spans="1:13">
      <c r="A82" s="314" t="s">
        <v>393</v>
      </c>
      <c r="B82" s="314" t="s">
        <v>402</v>
      </c>
      <c r="C82" s="314" t="s">
        <v>186</v>
      </c>
      <c r="D82" s="314" t="s">
        <v>393</v>
      </c>
      <c r="L82" s="332" t="s">
        <v>584</v>
      </c>
      <c r="M82" s="333" t="s">
        <v>583</v>
      </c>
    </row>
    <row r="83" spans="1:13">
      <c r="A83" s="314" t="s">
        <v>393</v>
      </c>
      <c r="B83" s="314" t="s">
        <v>403</v>
      </c>
      <c r="C83" s="314" t="s">
        <v>187</v>
      </c>
      <c r="D83" s="314" t="s">
        <v>393</v>
      </c>
      <c r="L83" s="332" t="s">
        <v>586</v>
      </c>
      <c r="M83" s="333" t="s">
        <v>585</v>
      </c>
    </row>
    <row r="84" spans="1:13">
      <c r="A84" s="314" t="s">
        <v>393</v>
      </c>
      <c r="B84" s="314" t="s">
        <v>404</v>
      </c>
      <c r="C84" s="314" t="s">
        <v>188</v>
      </c>
      <c r="D84" s="314" t="s">
        <v>393</v>
      </c>
      <c r="L84" s="332" t="s">
        <v>588</v>
      </c>
      <c r="M84" s="333" t="s">
        <v>587</v>
      </c>
    </row>
    <row r="85" spans="1:13">
      <c r="A85" s="314" t="s">
        <v>393</v>
      </c>
      <c r="B85" s="314" t="s">
        <v>405</v>
      </c>
      <c r="C85" s="314" t="s">
        <v>189</v>
      </c>
      <c r="D85" s="314" t="s">
        <v>393</v>
      </c>
      <c r="L85" s="332" t="s">
        <v>590</v>
      </c>
      <c r="M85" s="333" t="s">
        <v>589</v>
      </c>
    </row>
    <row r="86" spans="1:13">
      <c r="A86" s="314" t="s">
        <v>406</v>
      </c>
      <c r="B86" s="314" t="s">
        <v>407</v>
      </c>
      <c r="C86" s="314" t="s">
        <v>190</v>
      </c>
      <c r="D86" s="314" t="s">
        <v>406</v>
      </c>
      <c r="L86" s="332" t="s">
        <v>592</v>
      </c>
      <c r="M86" s="333" t="s">
        <v>591</v>
      </c>
    </row>
    <row r="87" spans="1:13">
      <c r="A87" s="314" t="s">
        <v>408</v>
      </c>
      <c r="B87" s="314" t="s">
        <v>409</v>
      </c>
      <c r="C87" s="314" t="s">
        <v>191</v>
      </c>
      <c r="D87" s="314" t="s">
        <v>408</v>
      </c>
      <c r="L87" s="332" t="s">
        <v>594</v>
      </c>
      <c r="M87" s="333" t="s">
        <v>593</v>
      </c>
    </row>
    <row r="88" spans="1:13">
      <c r="A88" s="314" t="s">
        <v>408</v>
      </c>
      <c r="B88" s="314" t="s">
        <v>410</v>
      </c>
      <c r="C88" s="314" t="s">
        <v>192</v>
      </c>
      <c r="D88" s="314" t="s">
        <v>408</v>
      </c>
      <c r="L88" s="332" t="s">
        <v>596</v>
      </c>
      <c r="M88" s="333" t="s">
        <v>595</v>
      </c>
    </row>
    <row r="89" spans="1:13">
      <c r="A89" s="314" t="s">
        <v>408</v>
      </c>
      <c r="B89" s="314" t="s">
        <v>411</v>
      </c>
      <c r="C89" s="314" t="s">
        <v>193</v>
      </c>
      <c r="D89" s="314" t="s">
        <v>408</v>
      </c>
      <c r="L89" s="332" t="s">
        <v>598</v>
      </c>
      <c r="M89" s="333" t="s">
        <v>597</v>
      </c>
    </row>
    <row r="90" spans="1:13">
      <c r="A90" s="314" t="s">
        <v>408</v>
      </c>
      <c r="B90" s="314" t="s">
        <v>412</v>
      </c>
      <c r="C90" s="314" t="s">
        <v>194</v>
      </c>
      <c r="D90" s="314" t="s">
        <v>408</v>
      </c>
      <c r="L90" s="332" t="s">
        <v>600</v>
      </c>
      <c r="M90" s="333" t="s">
        <v>599</v>
      </c>
    </row>
    <row r="91" spans="1:13">
      <c r="A91" s="314" t="s">
        <v>408</v>
      </c>
      <c r="B91" s="314" t="s">
        <v>413</v>
      </c>
      <c r="C91" s="314" t="s">
        <v>195</v>
      </c>
      <c r="D91" s="314" t="s">
        <v>408</v>
      </c>
      <c r="L91" s="332" t="s">
        <v>602</v>
      </c>
      <c r="M91" s="333" t="s">
        <v>601</v>
      </c>
    </row>
    <row r="92" spans="1:13">
      <c r="A92" s="314" t="s">
        <v>408</v>
      </c>
      <c r="B92" s="314" t="s">
        <v>414</v>
      </c>
      <c r="C92" s="314" t="s">
        <v>196</v>
      </c>
      <c r="D92" s="314" t="s">
        <v>408</v>
      </c>
      <c r="L92" s="332" t="s">
        <v>604</v>
      </c>
      <c r="M92" s="333" t="s">
        <v>603</v>
      </c>
    </row>
    <row r="93" spans="1:13">
      <c r="A93" s="314" t="s">
        <v>408</v>
      </c>
      <c r="B93" s="314" t="s">
        <v>416</v>
      </c>
      <c r="C93" s="314" t="s">
        <v>415</v>
      </c>
      <c r="D93" s="314" t="s">
        <v>408</v>
      </c>
      <c r="L93" s="332" t="s">
        <v>606</v>
      </c>
      <c r="M93" s="333" t="s">
        <v>605</v>
      </c>
    </row>
    <row r="94" spans="1:13">
      <c r="A94" s="314" t="s">
        <v>417</v>
      </c>
      <c r="B94" s="314" t="s">
        <v>418</v>
      </c>
      <c r="C94" s="314" t="s">
        <v>197</v>
      </c>
      <c r="D94" s="314" t="s">
        <v>417</v>
      </c>
      <c r="L94" s="332" t="s">
        <v>608</v>
      </c>
      <c r="M94" s="333" t="s">
        <v>607</v>
      </c>
    </row>
    <row r="95" spans="1:13">
      <c r="A95" s="314" t="s">
        <v>417</v>
      </c>
      <c r="B95" s="314" t="s">
        <v>419</v>
      </c>
      <c r="C95" s="314" t="s">
        <v>198</v>
      </c>
      <c r="D95" s="314" t="s">
        <v>417</v>
      </c>
      <c r="L95" s="332" t="s">
        <v>610</v>
      </c>
      <c r="M95" s="333" t="s">
        <v>609</v>
      </c>
    </row>
    <row r="96" spans="1:13">
      <c r="A96" s="314" t="s">
        <v>417</v>
      </c>
      <c r="B96" s="314" t="s">
        <v>420</v>
      </c>
      <c r="C96" s="314" t="s">
        <v>199</v>
      </c>
      <c r="D96" s="314" t="s">
        <v>417</v>
      </c>
      <c r="L96" s="332" t="s">
        <v>612</v>
      </c>
      <c r="M96" s="333" t="s">
        <v>611</v>
      </c>
    </row>
    <row r="97" spans="1:13">
      <c r="A97" s="314" t="s">
        <v>417</v>
      </c>
      <c r="B97" s="314" t="s">
        <v>421</v>
      </c>
      <c r="C97" s="314" t="s">
        <v>200</v>
      </c>
      <c r="D97" s="314" t="s">
        <v>417</v>
      </c>
      <c r="L97" s="332" t="s">
        <v>614</v>
      </c>
      <c r="M97" s="333" t="s">
        <v>613</v>
      </c>
    </row>
    <row r="98" spans="1:13">
      <c r="A98" s="314" t="s">
        <v>417</v>
      </c>
      <c r="B98" s="314" t="s">
        <v>422</v>
      </c>
      <c r="C98" s="314" t="s">
        <v>201</v>
      </c>
      <c r="D98" s="314" t="s">
        <v>417</v>
      </c>
      <c r="L98" s="332" t="s">
        <v>616</v>
      </c>
      <c r="M98" s="333" t="s">
        <v>615</v>
      </c>
    </row>
    <row r="99" spans="1:13">
      <c r="B99" s="290"/>
      <c r="C99" s="290" t="s">
        <v>423</v>
      </c>
      <c r="L99" s="332" t="s">
        <v>618</v>
      </c>
      <c r="M99" s="333" t="s">
        <v>617</v>
      </c>
    </row>
    <row r="100" spans="1:13">
      <c r="B100" s="290" t="s">
        <v>425</v>
      </c>
      <c r="C100" s="290" t="s">
        <v>424</v>
      </c>
      <c r="L100" s="332" t="s">
        <v>621</v>
      </c>
      <c r="M100" s="333" t="s">
        <v>145</v>
      </c>
    </row>
    <row r="101" spans="1:13">
      <c r="L101" s="332" t="s">
        <v>622</v>
      </c>
      <c r="M101" s="333" t="s">
        <v>146</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A1645F-2A91-4DC3-AF2A-15B4EECB28A9}">
  <dimension ref="A2:D506"/>
  <sheetViews>
    <sheetView showGridLines="0" topLeftCell="A453" workbookViewId="0">
      <selection activeCell="B471" sqref="B471"/>
    </sheetView>
  </sheetViews>
  <sheetFormatPr baseColWidth="10" defaultRowHeight="15"/>
  <cols>
    <col min="1" max="1" width="23.28515625" bestFit="1" customWidth="1"/>
    <col min="2" max="2" width="70.7109375" bestFit="1" customWidth="1"/>
    <col min="3" max="3" width="11.85546875" bestFit="1" customWidth="1"/>
    <col min="4" max="4" width="23.28515625" bestFit="1" customWidth="1"/>
  </cols>
  <sheetData>
    <row r="2" spans="1:4">
      <c r="A2" t="s">
        <v>623</v>
      </c>
      <c r="B2" t="s">
        <v>624</v>
      </c>
      <c r="C2" t="s">
        <v>625</v>
      </c>
      <c r="D2" t="s">
        <v>623</v>
      </c>
    </row>
    <row r="3" spans="1:4">
      <c r="A3" t="s">
        <v>626</v>
      </c>
      <c r="B3" t="s">
        <v>627</v>
      </c>
      <c r="C3">
        <v>6210020609</v>
      </c>
      <c r="D3" t="s">
        <v>626</v>
      </c>
    </row>
    <row r="4" spans="1:4">
      <c r="A4" t="s">
        <v>626</v>
      </c>
      <c r="B4" t="s">
        <v>628</v>
      </c>
      <c r="C4">
        <v>6210020602</v>
      </c>
      <c r="D4" t="s">
        <v>626</v>
      </c>
    </row>
    <row r="5" spans="1:4">
      <c r="A5" t="s">
        <v>626</v>
      </c>
      <c r="B5" t="s">
        <v>629</v>
      </c>
      <c r="C5">
        <v>6210020601</v>
      </c>
      <c r="D5" t="s">
        <v>626</v>
      </c>
    </row>
    <row r="6" spans="1:4">
      <c r="A6" t="s">
        <v>626</v>
      </c>
      <c r="B6" t="s">
        <v>630</v>
      </c>
      <c r="C6">
        <v>6210020605</v>
      </c>
      <c r="D6" t="s">
        <v>626</v>
      </c>
    </row>
    <row r="7" spans="1:4">
      <c r="A7" t="s">
        <v>626</v>
      </c>
      <c r="B7" t="s">
        <v>631</v>
      </c>
      <c r="C7">
        <v>6210020607</v>
      </c>
      <c r="D7" t="s">
        <v>626</v>
      </c>
    </row>
    <row r="8" spans="1:4">
      <c r="A8" t="s">
        <v>626</v>
      </c>
      <c r="B8" t="s">
        <v>632</v>
      </c>
      <c r="C8">
        <v>6210020608</v>
      </c>
      <c r="D8" t="s">
        <v>626</v>
      </c>
    </row>
    <row r="9" spans="1:4">
      <c r="A9" t="s">
        <v>626</v>
      </c>
      <c r="B9" t="s">
        <v>633</v>
      </c>
      <c r="C9">
        <v>6210020603</v>
      </c>
      <c r="D9" t="s">
        <v>626</v>
      </c>
    </row>
    <row r="10" spans="1:4">
      <c r="A10" t="s">
        <v>626</v>
      </c>
      <c r="B10" t="s">
        <v>634</v>
      </c>
      <c r="C10">
        <v>6210020604</v>
      </c>
      <c r="D10" t="s">
        <v>626</v>
      </c>
    </row>
    <row r="11" spans="1:4">
      <c r="A11" t="s">
        <v>626</v>
      </c>
      <c r="B11" t="s">
        <v>635</v>
      </c>
      <c r="C11">
        <v>6210020610</v>
      </c>
      <c r="D11" t="s">
        <v>626</v>
      </c>
    </row>
    <row r="12" spans="1:4">
      <c r="A12" t="s">
        <v>626</v>
      </c>
      <c r="B12" t="s">
        <v>636</v>
      </c>
      <c r="C12">
        <v>6210020606</v>
      </c>
      <c r="D12" t="s">
        <v>626</v>
      </c>
    </row>
    <row r="13" spans="1:4">
      <c r="A13" t="s">
        <v>626</v>
      </c>
      <c r="B13" t="s">
        <v>637</v>
      </c>
      <c r="C13">
        <v>6210100301</v>
      </c>
      <c r="D13" t="s">
        <v>626</v>
      </c>
    </row>
    <row r="14" spans="1:4">
      <c r="A14" t="s">
        <v>626</v>
      </c>
      <c r="B14" t="s">
        <v>638</v>
      </c>
      <c r="C14">
        <v>6210020902</v>
      </c>
      <c r="D14" t="s">
        <v>626</v>
      </c>
    </row>
    <row r="15" spans="1:4">
      <c r="A15" t="s">
        <v>626</v>
      </c>
      <c r="B15" t="s">
        <v>639</v>
      </c>
      <c r="C15">
        <v>6210020901</v>
      </c>
      <c r="D15" t="s">
        <v>626</v>
      </c>
    </row>
    <row r="16" spans="1:4">
      <c r="A16" t="s">
        <v>626</v>
      </c>
      <c r="B16" t="s">
        <v>640</v>
      </c>
      <c r="C16">
        <v>6210020101</v>
      </c>
      <c r="D16" t="s">
        <v>626</v>
      </c>
    </row>
    <row r="17" spans="1:4">
      <c r="A17" t="s">
        <v>626</v>
      </c>
      <c r="B17" t="s">
        <v>641</v>
      </c>
      <c r="C17">
        <v>6210021201</v>
      </c>
      <c r="D17" t="s">
        <v>626</v>
      </c>
    </row>
    <row r="18" spans="1:4">
      <c r="A18" t="s">
        <v>626</v>
      </c>
      <c r="B18" t="s">
        <v>642</v>
      </c>
      <c r="C18">
        <v>6210021202</v>
      </c>
      <c r="D18" t="s">
        <v>626</v>
      </c>
    </row>
    <row r="19" spans="1:4">
      <c r="A19" t="s">
        <v>626</v>
      </c>
      <c r="B19" t="s">
        <v>643</v>
      </c>
      <c r="C19">
        <v>6210021203</v>
      </c>
      <c r="D19" t="s">
        <v>626</v>
      </c>
    </row>
    <row r="20" spans="1:4">
      <c r="A20" t="s">
        <v>626</v>
      </c>
      <c r="B20" t="s">
        <v>644</v>
      </c>
      <c r="C20">
        <v>6210021204</v>
      </c>
      <c r="D20" t="s">
        <v>626</v>
      </c>
    </row>
    <row r="21" spans="1:4">
      <c r="A21" t="s">
        <v>626</v>
      </c>
      <c r="B21" t="s">
        <v>645</v>
      </c>
      <c r="C21">
        <v>6210022002</v>
      </c>
      <c r="D21" t="s">
        <v>626</v>
      </c>
    </row>
    <row r="22" spans="1:4">
      <c r="A22" t="s">
        <v>626</v>
      </c>
      <c r="B22" t="s">
        <v>646</v>
      </c>
      <c r="C22">
        <v>6210022001</v>
      </c>
      <c r="D22" t="s">
        <v>626</v>
      </c>
    </row>
    <row r="23" spans="1:4">
      <c r="A23" t="s">
        <v>626</v>
      </c>
      <c r="B23" t="s">
        <v>647</v>
      </c>
      <c r="C23">
        <v>6210022201</v>
      </c>
      <c r="D23" t="s">
        <v>626</v>
      </c>
    </row>
    <row r="24" spans="1:4">
      <c r="A24" t="s">
        <v>626</v>
      </c>
      <c r="B24" t="s">
        <v>648</v>
      </c>
      <c r="C24">
        <v>6210020501</v>
      </c>
      <c r="D24" t="s">
        <v>626</v>
      </c>
    </row>
    <row r="25" spans="1:4">
      <c r="A25" t="s">
        <v>626</v>
      </c>
      <c r="B25" t="s">
        <v>649</v>
      </c>
      <c r="C25">
        <v>6210020505</v>
      </c>
      <c r="D25" t="s">
        <v>626</v>
      </c>
    </row>
    <row r="26" spans="1:4">
      <c r="A26" t="s">
        <v>626</v>
      </c>
      <c r="B26" t="s">
        <v>650</v>
      </c>
      <c r="C26">
        <v>6210020503</v>
      </c>
      <c r="D26" t="s">
        <v>626</v>
      </c>
    </row>
    <row r="27" spans="1:4">
      <c r="A27" t="s">
        <v>626</v>
      </c>
      <c r="B27" t="s">
        <v>651</v>
      </c>
      <c r="C27">
        <v>6210100501</v>
      </c>
      <c r="D27" t="s">
        <v>626</v>
      </c>
    </row>
    <row r="28" spans="1:4">
      <c r="A28" t="s">
        <v>626</v>
      </c>
      <c r="B28" t="s">
        <v>652</v>
      </c>
      <c r="C28">
        <v>6210021601</v>
      </c>
      <c r="D28" t="s">
        <v>626</v>
      </c>
    </row>
    <row r="29" spans="1:4">
      <c r="A29" t="s">
        <v>626</v>
      </c>
      <c r="B29" t="s">
        <v>653</v>
      </c>
      <c r="C29">
        <v>6210021602</v>
      </c>
      <c r="D29" t="s">
        <v>626</v>
      </c>
    </row>
    <row r="30" spans="1:4">
      <c r="A30" t="s">
        <v>626</v>
      </c>
      <c r="B30" t="s">
        <v>654</v>
      </c>
      <c r="C30">
        <v>6210020202</v>
      </c>
      <c r="D30" t="s">
        <v>626</v>
      </c>
    </row>
    <row r="31" spans="1:4">
      <c r="A31" t="s">
        <v>626</v>
      </c>
      <c r="B31" t="s">
        <v>655</v>
      </c>
      <c r="C31">
        <v>6210020201</v>
      </c>
      <c r="D31" t="s">
        <v>626</v>
      </c>
    </row>
    <row r="32" spans="1:4">
      <c r="A32" t="s">
        <v>626</v>
      </c>
      <c r="B32" t="s">
        <v>656</v>
      </c>
      <c r="C32">
        <v>6210020203</v>
      </c>
      <c r="D32" t="s">
        <v>626</v>
      </c>
    </row>
    <row r="33" spans="1:4">
      <c r="A33" t="s">
        <v>626</v>
      </c>
      <c r="B33" t="s">
        <v>657</v>
      </c>
      <c r="C33">
        <v>6210080106</v>
      </c>
      <c r="D33" t="s">
        <v>626</v>
      </c>
    </row>
    <row r="34" spans="1:4">
      <c r="A34" t="s">
        <v>626</v>
      </c>
      <c r="B34" t="s">
        <v>658</v>
      </c>
      <c r="C34">
        <v>6210080108</v>
      </c>
      <c r="D34" t="s">
        <v>626</v>
      </c>
    </row>
    <row r="35" spans="1:4">
      <c r="A35" t="s">
        <v>626</v>
      </c>
      <c r="B35" t="s">
        <v>659</v>
      </c>
      <c r="C35">
        <v>6210080107</v>
      </c>
      <c r="D35" t="s">
        <v>626</v>
      </c>
    </row>
    <row r="36" spans="1:4">
      <c r="A36" t="s">
        <v>626</v>
      </c>
      <c r="B36" t="s">
        <v>660</v>
      </c>
      <c r="C36">
        <v>6210080101</v>
      </c>
      <c r="D36" t="s">
        <v>626</v>
      </c>
    </row>
    <row r="37" spans="1:4">
      <c r="A37" t="s">
        <v>626</v>
      </c>
      <c r="B37" t="s">
        <v>661</v>
      </c>
      <c r="C37">
        <v>6210080103</v>
      </c>
      <c r="D37" t="s">
        <v>626</v>
      </c>
    </row>
    <row r="38" spans="1:4">
      <c r="A38" t="s">
        <v>626</v>
      </c>
      <c r="B38" t="s">
        <v>662</v>
      </c>
      <c r="C38">
        <v>6210080102</v>
      </c>
      <c r="D38" t="s">
        <v>626</v>
      </c>
    </row>
    <row r="39" spans="1:4">
      <c r="A39" t="s">
        <v>626</v>
      </c>
      <c r="B39" t="s">
        <v>663</v>
      </c>
      <c r="C39">
        <v>6210080104</v>
      </c>
      <c r="D39" t="s">
        <v>626</v>
      </c>
    </row>
    <row r="40" spans="1:4">
      <c r="A40" t="s">
        <v>626</v>
      </c>
      <c r="B40" t="s">
        <v>664</v>
      </c>
      <c r="C40">
        <v>6210080105</v>
      </c>
      <c r="D40" t="s">
        <v>626</v>
      </c>
    </row>
    <row r="41" spans="1:4">
      <c r="A41" t="s">
        <v>626</v>
      </c>
      <c r="B41" t="s">
        <v>665</v>
      </c>
      <c r="C41">
        <v>6210021815</v>
      </c>
      <c r="D41" t="s">
        <v>626</v>
      </c>
    </row>
    <row r="42" spans="1:4">
      <c r="A42" t="s">
        <v>626</v>
      </c>
      <c r="B42" t="s">
        <v>666</v>
      </c>
      <c r="C42">
        <v>6210020709</v>
      </c>
      <c r="D42" t="s">
        <v>626</v>
      </c>
    </row>
    <row r="43" spans="1:4">
      <c r="A43" t="s">
        <v>626</v>
      </c>
      <c r="B43" t="s">
        <v>667</v>
      </c>
      <c r="C43">
        <v>6210020710</v>
      </c>
      <c r="D43" t="s">
        <v>626</v>
      </c>
    </row>
    <row r="44" spans="1:4">
      <c r="A44" t="s">
        <v>626</v>
      </c>
      <c r="B44" t="s">
        <v>668</v>
      </c>
      <c r="C44">
        <v>6210020702</v>
      </c>
      <c r="D44" t="s">
        <v>626</v>
      </c>
    </row>
    <row r="45" spans="1:4">
      <c r="A45" t="s">
        <v>626</v>
      </c>
      <c r="B45" t="s">
        <v>669</v>
      </c>
      <c r="C45">
        <v>6210020701</v>
      </c>
      <c r="D45" t="s">
        <v>626</v>
      </c>
    </row>
    <row r="46" spans="1:4">
      <c r="A46" t="s">
        <v>626</v>
      </c>
      <c r="B46" t="s">
        <v>670</v>
      </c>
      <c r="C46">
        <v>6210020705</v>
      </c>
      <c r="D46" t="s">
        <v>626</v>
      </c>
    </row>
    <row r="47" spans="1:4">
      <c r="A47" t="s">
        <v>626</v>
      </c>
      <c r="B47" t="s">
        <v>671</v>
      </c>
      <c r="C47">
        <v>6210020707</v>
      </c>
      <c r="D47" t="s">
        <v>626</v>
      </c>
    </row>
    <row r="48" spans="1:4">
      <c r="A48" t="s">
        <v>626</v>
      </c>
      <c r="B48" t="s">
        <v>672</v>
      </c>
      <c r="C48">
        <v>6210020708</v>
      </c>
      <c r="D48" t="s">
        <v>626</v>
      </c>
    </row>
    <row r="49" spans="1:4">
      <c r="A49" t="s">
        <v>626</v>
      </c>
      <c r="B49" t="s">
        <v>673</v>
      </c>
      <c r="C49">
        <v>6210020703</v>
      </c>
      <c r="D49" t="s">
        <v>626</v>
      </c>
    </row>
    <row r="50" spans="1:4">
      <c r="A50" t="s">
        <v>626</v>
      </c>
      <c r="B50" t="s">
        <v>674</v>
      </c>
      <c r="C50">
        <v>6210020704</v>
      </c>
      <c r="D50" t="s">
        <v>626</v>
      </c>
    </row>
    <row r="51" spans="1:4">
      <c r="A51" t="s">
        <v>626</v>
      </c>
      <c r="B51" t="s">
        <v>675</v>
      </c>
      <c r="C51">
        <v>6210020712</v>
      </c>
      <c r="D51" t="s">
        <v>626</v>
      </c>
    </row>
    <row r="52" spans="1:4">
      <c r="A52" t="s">
        <v>626</v>
      </c>
      <c r="B52" t="s">
        <v>676</v>
      </c>
      <c r="C52">
        <v>6210020711</v>
      </c>
      <c r="D52" t="s">
        <v>626</v>
      </c>
    </row>
    <row r="53" spans="1:4">
      <c r="A53" t="s">
        <v>626</v>
      </c>
      <c r="B53" t="s">
        <v>677</v>
      </c>
      <c r="C53">
        <v>6210020706</v>
      </c>
      <c r="D53" t="s">
        <v>626</v>
      </c>
    </row>
    <row r="54" spans="1:4">
      <c r="A54" t="s">
        <v>626</v>
      </c>
      <c r="B54" t="s">
        <v>678</v>
      </c>
      <c r="C54">
        <v>6210021801</v>
      </c>
      <c r="D54" t="s">
        <v>626</v>
      </c>
    </row>
    <row r="55" spans="1:4">
      <c r="A55" t="s">
        <v>626</v>
      </c>
      <c r="B55" t="s">
        <v>679</v>
      </c>
      <c r="C55">
        <v>6210021810</v>
      </c>
      <c r="D55" t="s">
        <v>626</v>
      </c>
    </row>
    <row r="56" spans="1:4">
      <c r="A56" t="s">
        <v>626</v>
      </c>
      <c r="B56" t="s">
        <v>680</v>
      </c>
      <c r="C56">
        <v>6210021802</v>
      </c>
      <c r="D56" t="s">
        <v>626</v>
      </c>
    </row>
    <row r="57" spans="1:4">
      <c r="A57" t="s">
        <v>626</v>
      </c>
      <c r="B57" t="s">
        <v>681</v>
      </c>
      <c r="C57">
        <v>6210021808</v>
      </c>
      <c r="D57" t="s">
        <v>626</v>
      </c>
    </row>
    <row r="58" spans="1:4">
      <c r="A58" t="s">
        <v>626</v>
      </c>
      <c r="B58" t="s">
        <v>682</v>
      </c>
      <c r="C58">
        <v>6210021803</v>
      </c>
      <c r="D58" t="s">
        <v>626</v>
      </c>
    </row>
    <row r="59" spans="1:4">
      <c r="A59" t="s">
        <v>626</v>
      </c>
      <c r="B59" t="s">
        <v>683</v>
      </c>
      <c r="C59">
        <v>6210021804</v>
      </c>
      <c r="D59" t="s">
        <v>626</v>
      </c>
    </row>
    <row r="60" spans="1:4">
      <c r="A60" t="s">
        <v>626</v>
      </c>
      <c r="B60" t="s">
        <v>684</v>
      </c>
      <c r="C60">
        <v>6210021809</v>
      </c>
      <c r="D60" t="s">
        <v>626</v>
      </c>
    </row>
    <row r="61" spans="1:4">
      <c r="A61" t="s">
        <v>626</v>
      </c>
      <c r="B61" t="s">
        <v>685</v>
      </c>
      <c r="C61">
        <v>6210021805</v>
      </c>
      <c r="D61" t="s">
        <v>626</v>
      </c>
    </row>
    <row r="62" spans="1:4">
      <c r="A62" t="s">
        <v>626</v>
      </c>
      <c r="B62" t="s">
        <v>686</v>
      </c>
      <c r="C62">
        <v>6210021814</v>
      </c>
      <c r="D62" t="s">
        <v>626</v>
      </c>
    </row>
    <row r="63" spans="1:4">
      <c r="A63" t="s">
        <v>626</v>
      </c>
      <c r="B63" t="s">
        <v>687</v>
      </c>
      <c r="C63">
        <v>6210021806</v>
      </c>
      <c r="D63" t="s">
        <v>626</v>
      </c>
    </row>
    <row r="64" spans="1:4">
      <c r="A64" t="s">
        <v>626</v>
      </c>
      <c r="B64" t="s">
        <v>688</v>
      </c>
      <c r="C64">
        <v>6210021807</v>
      </c>
      <c r="D64" t="s">
        <v>626</v>
      </c>
    </row>
    <row r="65" spans="1:4">
      <c r="A65" t="s">
        <v>626</v>
      </c>
      <c r="B65" t="s">
        <v>689</v>
      </c>
      <c r="C65">
        <v>6210021002</v>
      </c>
      <c r="D65" t="s">
        <v>626</v>
      </c>
    </row>
    <row r="66" spans="1:4">
      <c r="A66" t="s">
        <v>626</v>
      </c>
      <c r="B66" t="s">
        <v>690</v>
      </c>
      <c r="C66">
        <v>6210021001</v>
      </c>
      <c r="D66" t="s">
        <v>626</v>
      </c>
    </row>
    <row r="67" spans="1:4">
      <c r="A67" t="s">
        <v>626</v>
      </c>
      <c r="B67" t="s">
        <v>691</v>
      </c>
      <c r="C67">
        <v>6210021007</v>
      </c>
      <c r="D67" t="s">
        <v>626</v>
      </c>
    </row>
    <row r="68" spans="1:4">
      <c r="A68" t="s">
        <v>626</v>
      </c>
      <c r="B68" t="s">
        <v>692</v>
      </c>
      <c r="C68">
        <v>6210021005</v>
      </c>
      <c r="D68" t="s">
        <v>626</v>
      </c>
    </row>
    <row r="69" spans="1:4">
      <c r="A69" t="s">
        <v>626</v>
      </c>
      <c r="B69" t="s">
        <v>693</v>
      </c>
      <c r="C69">
        <v>6210021006</v>
      </c>
      <c r="D69" t="s">
        <v>626</v>
      </c>
    </row>
    <row r="70" spans="1:4">
      <c r="A70" t="s">
        <v>626</v>
      </c>
      <c r="B70" t="s">
        <v>694</v>
      </c>
      <c r="C70">
        <v>6210021008</v>
      </c>
      <c r="D70" t="s">
        <v>626</v>
      </c>
    </row>
    <row r="71" spans="1:4">
      <c r="A71" t="s">
        <v>626</v>
      </c>
      <c r="B71" t="s">
        <v>695</v>
      </c>
      <c r="C71">
        <v>6210021004</v>
      </c>
      <c r="D71" t="s">
        <v>626</v>
      </c>
    </row>
    <row r="72" spans="1:4">
      <c r="A72" t="s">
        <v>626</v>
      </c>
      <c r="B72" t="s">
        <v>696</v>
      </c>
      <c r="C72">
        <v>6210021003</v>
      </c>
      <c r="D72" t="s">
        <v>626</v>
      </c>
    </row>
    <row r="73" spans="1:4">
      <c r="A73" t="s">
        <v>626</v>
      </c>
      <c r="B73" t="s">
        <v>697</v>
      </c>
      <c r="C73">
        <v>6210021301</v>
      </c>
      <c r="D73" t="s">
        <v>626</v>
      </c>
    </row>
    <row r="74" spans="1:4">
      <c r="A74" t="s">
        <v>626</v>
      </c>
      <c r="B74" t="s">
        <v>698</v>
      </c>
      <c r="C74">
        <v>6210020803</v>
      </c>
      <c r="D74" t="s">
        <v>626</v>
      </c>
    </row>
    <row r="75" spans="1:4">
      <c r="A75" t="s">
        <v>626</v>
      </c>
      <c r="B75" t="s">
        <v>699</v>
      </c>
      <c r="C75">
        <v>6210020802</v>
      </c>
      <c r="D75" t="s">
        <v>626</v>
      </c>
    </row>
    <row r="76" spans="1:4">
      <c r="A76" t="s">
        <v>626</v>
      </c>
      <c r="B76" t="s">
        <v>700</v>
      </c>
      <c r="C76">
        <v>6210020807</v>
      </c>
      <c r="D76" t="s">
        <v>626</v>
      </c>
    </row>
    <row r="77" spans="1:4">
      <c r="A77" t="s">
        <v>626</v>
      </c>
      <c r="B77" t="s">
        <v>701</v>
      </c>
      <c r="C77">
        <v>6210020804</v>
      </c>
      <c r="D77" t="s">
        <v>626</v>
      </c>
    </row>
    <row r="78" spans="1:4">
      <c r="A78" t="s">
        <v>626</v>
      </c>
      <c r="B78" t="s">
        <v>702</v>
      </c>
      <c r="C78">
        <v>6210020812</v>
      </c>
      <c r="D78" t="s">
        <v>626</v>
      </c>
    </row>
    <row r="79" spans="1:4">
      <c r="A79" t="s">
        <v>626</v>
      </c>
      <c r="B79" t="s">
        <v>703</v>
      </c>
      <c r="C79">
        <v>6210020801</v>
      </c>
      <c r="D79" t="s">
        <v>626</v>
      </c>
    </row>
    <row r="80" spans="1:4">
      <c r="A80" t="s">
        <v>626</v>
      </c>
      <c r="B80" t="s">
        <v>704</v>
      </c>
      <c r="C80">
        <v>6210020811</v>
      </c>
      <c r="D80" t="s">
        <v>626</v>
      </c>
    </row>
    <row r="81" spans="1:4">
      <c r="A81" t="s">
        <v>626</v>
      </c>
      <c r="B81" t="s">
        <v>705</v>
      </c>
      <c r="C81">
        <v>6210020814</v>
      </c>
      <c r="D81" t="s">
        <v>626</v>
      </c>
    </row>
    <row r="82" spans="1:4">
      <c r="A82" t="s">
        <v>626</v>
      </c>
      <c r="B82" t="s">
        <v>706</v>
      </c>
      <c r="C82">
        <v>6210020808</v>
      </c>
      <c r="D82" t="s">
        <v>626</v>
      </c>
    </row>
    <row r="83" spans="1:4">
      <c r="A83" t="s">
        <v>626</v>
      </c>
      <c r="B83" t="s">
        <v>707</v>
      </c>
      <c r="C83">
        <v>6210020809</v>
      </c>
      <c r="D83" t="s">
        <v>626</v>
      </c>
    </row>
    <row r="84" spans="1:4">
      <c r="A84" t="s">
        <v>626</v>
      </c>
      <c r="B84" t="s">
        <v>708</v>
      </c>
      <c r="C84">
        <v>6210020810</v>
      </c>
      <c r="D84" t="s">
        <v>626</v>
      </c>
    </row>
    <row r="85" spans="1:4">
      <c r="A85" t="s">
        <v>626</v>
      </c>
      <c r="B85" t="s">
        <v>709</v>
      </c>
      <c r="C85">
        <v>6210020806</v>
      </c>
      <c r="D85" t="s">
        <v>626</v>
      </c>
    </row>
    <row r="86" spans="1:4">
      <c r="A86" t="s">
        <v>626</v>
      </c>
      <c r="B86" t="s">
        <v>710</v>
      </c>
      <c r="C86">
        <v>6210020805</v>
      </c>
      <c r="D86" t="s">
        <v>626</v>
      </c>
    </row>
    <row r="87" spans="1:4">
      <c r="A87" t="s">
        <v>626</v>
      </c>
      <c r="B87" t="s">
        <v>711</v>
      </c>
      <c r="C87">
        <v>6210020813</v>
      </c>
      <c r="D87" t="s">
        <v>626</v>
      </c>
    </row>
    <row r="88" spans="1:4">
      <c r="A88" t="s">
        <v>626</v>
      </c>
      <c r="B88" t="s">
        <v>712</v>
      </c>
      <c r="C88">
        <v>6210021401</v>
      </c>
      <c r="D88" t="s">
        <v>626</v>
      </c>
    </row>
    <row r="89" spans="1:4">
      <c r="A89" t="s">
        <v>626</v>
      </c>
      <c r="B89" t="s">
        <v>713</v>
      </c>
      <c r="C89">
        <v>6210021402</v>
      </c>
      <c r="D89" t="s">
        <v>626</v>
      </c>
    </row>
    <row r="90" spans="1:4">
      <c r="A90" t="s">
        <v>626</v>
      </c>
      <c r="B90" t="s">
        <v>714</v>
      </c>
      <c r="C90">
        <v>6210021501</v>
      </c>
      <c r="D90" t="s">
        <v>626</v>
      </c>
    </row>
    <row r="91" spans="1:4">
      <c r="A91" t="s">
        <v>626</v>
      </c>
      <c r="B91" t="s">
        <v>715</v>
      </c>
      <c r="C91">
        <v>6210020402</v>
      </c>
      <c r="D91" t="s">
        <v>626</v>
      </c>
    </row>
    <row r="92" spans="1:4">
      <c r="A92" t="s">
        <v>626</v>
      </c>
      <c r="B92" t="s">
        <v>716</v>
      </c>
      <c r="C92">
        <v>6210020401</v>
      </c>
      <c r="D92" t="s">
        <v>626</v>
      </c>
    </row>
    <row r="93" spans="1:4">
      <c r="A93" t="s">
        <v>626</v>
      </c>
      <c r="B93" t="s">
        <v>717</v>
      </c>
      <c r="C93">
        <v>6210020403</v>
      </c>
      <c r="D93" t="s">
        <v>626</v>
      </c>
    </row>
    <row r="94" spans="1:4">
      <c r="A94" t="s">
        <v>626</v>
      </c>
      <c r="B94" t="s">
        <v>718</v>
      </c>
      <c r="C94">
        <v>6210020407</v>
      </c>
      <c r="D94" t="s">
        <v>626</v>
      </c>
    </row>
    <row r="95" spans="1:4">
      <c r="A95" t="s">
        <v>626</v>
      </c>
      <c r="B95" t="s">
        <v>719</v>
      </c>
      <c r="C95">
        <v>6210020406</v>
      </c>
      <c r="D95" t="s">
        <v>626</v>
      </c>
    </row>
    <row r="96" spans="1:4">
      <c r="A96" t="s">
        <v>626</v>
      </c>
      <c r="B96" t="s">
        <v>720</v>
      </c>
      <c r="C96">
        <v>6210020404</v>
      </c>
      <c r="D96" t="s">
        <v>626</v>
      </c>
    </row>
    <row r="97" spans="1:4">
      <c r="A97" t="s">
        <v>626</v>
      </c>
      <c r="B97" t="s">
        <v>721</v>
      </c>
      <c r="C97">
        <v>6210020405</v>
      </c>
      <c r="D97" t="s">
        <v>626</v>
      </c>
    </row>
    <row r="98" spans="1:4">
      <c r="A98" t="s">
        <v>626</v>
      </c>
      <c r="B98" t="s">
        <v>722</v>
      </c>
      <c r="C98">
        <v>6210020408</v>
      </c>
      <c r="D98" t="s">
        <v>626</v>
      </c>
    </row>
    <row r="99" spans="1:4">
      <c r="A99" t="s">
        <v>626</v>
      </c>
      <c r="B99" t="s">
        <v>723</v>
      </c>
      <c r="C99">
        <v>6210020301</v>
      </c>
      <c r="D99" t="s">
        <v>626</v>
      </c>
    </row>
    <row r="100" spans="1:4">
      <c r="A100" t="s">
        <v>626</v>
      </c>
      <c r="B100" t="s">
        <v>724</v>
      </c>
      <c r="C100">
        <v>6210020305</v>
      </c>
      <c r="D100" t="s">
        <v>626</v>
      </c>
    </row>
    <row r="101" spans="1:4">
      <c r="A101" t="s">
        <v>626</v>
      </c>
      <c r="B101" t="s">
        <v>725</v>
      </c>
      <c r="C101">
        <v>6210020307</v>
      </c>
      <c r="D101" t="s">
        <v>626</v>
      </c>
    </row>
    <row r="102" spans="1:4">
      <c r="A102" t="s">
        <v>626</v>
      </c>
      <c r="B102" t="s">
        <v>726</v>
      </c>
      <c r="C102">
        <v>6210020306</v>
      </c>
      <c r="D102" t="s">
        <v>626</v>
      </c>
    </row>
    <row r="103" spans="1:4">
      <c r="A103" t="s">
        <v>626</v>
      </c>
      <c r="B103" t="s">
        <v>727</v>
      </c>
      <c r="C103">
        <v>6210020308</v>
      </c>
      <c r="D103" t="s">
        <v>626</v>
      </c>
    </row>
    <row r="104" spans="1:4">
      <c r="A104" t="s">
        <v>626</v>
      </c>
      <c r="B104" t="s">
        <v>728</v>
      </c>
      <c r="C104">
        <v>6210020310</v>
      </c>
      <c r="D104" t="s">
        <v>626</v>
      </c>
    </row>
    <row r="105" spans="1:4">
      <c r="A105" t="s">
        <v>626</v>
      </c>
      <c r="B105" t="s">
        <v>729</v>
      </c>
      <c r="C105">
        <v>6210020311</v>
      </c>
      <c r="D105" t="s">
        <v>626</v>
      </c>
    </row>
    <row r="106" spans="1:4">
      <c r="A106" t="s">
        <v>626</v>
      </c>
      <c r="B106" t="s">
        <v>730</v>
      </c>
      <c r="C106">
        <v>6210020312</v>
      </c>
      <c r="D106" t="s">
        <v>626</v>
      </c>
    </row>
    <row r="107" spans="1:4">
      <c r="A107" t="s">
        <v>626</v>
      </c>
      <c r="B107" t="s">
        <v>731</v>
      </c>
      <c r="C107">
        <v>6210020302</v>
      </c>
      <c r="D107" t="s">
        <v>626</v>
      </c>
    </row>
    <row r="108" spans="1:4">
      <c r="A108" t="s">
        <v>626</v>
      </c>
      <c r="B108" t="s">
        <v>732</v>
      </c>
      <c r="C108">
        <v>6210020303</v>
      </c>
      <c r="D108" t="s">
        <v>626</v>
      </c>
    </row>
    <row r="109" spans="1:4">
      <c r="A109" t="s">
        <v>626</v>
      </c>
      <c r="B109" t="s">
        <v>733</v>
      </c>
      <c r="C109">
        <v>6210020309</v>
      </c>
      <c r="D109" t="s">
        <v>626</v>
      </c>
    </row>
    <row r="110" spans="1:4">
      <c r="A110" t="s">
        <v>626</v>
      </c>
      <c r="B110" t="s">
        <v>734</v>
      </c>
      <c r="C110">
        <v>6210020304</v>
      </c>
      <c r="D110" t="s">
        <v>626</v>
      </c>
    </row>
    <row r="111" spans="1:4">
      <c r="A111" t="s">
        <v>626</v>
      </c>
      <c r="B111" t="s">
        <v>735</v>
      </c>
      <c r="C111">
        <v>6210100402</v>
      </c>
      <c r="D111" t="s">
        <v>626</v>
      </c>
    </row>
    <row r="112" spans="1:4">
      <c r="A112" t="s">
        <v>626</v>
      </c>
      <c r="B112" t="s">
        <v>736</v>
      </c>
      <c r="C112">
        <v>6210100401</v>
      </c>
      <c r="D112" t="s">
        <v>626</v>
      </c>
    </row>
    <row r="115" spans="1:4">
      <c r="A115" t="s">
        <v>737</v>
      </c>
      <c r="B115" t="s">
        <v>738</v>
      </c>
      <c r="C115">
        <v>5305150101</v>
      </c>
      <c r="D115" t="s">
        <v>737</v>
      </c>
    </row>
    <row r="116" spans="1:4">
      <c r="A116" t="s">
        <v>737</v>
      </c>
      <c r="B116" t="s">
        <v>739</v>
      </c>
      <c r="C116">
        <v>5305350101</v>
      </c>
      <c r="D116" t="s">
        <v>737</v>
      </c>
    </row>
    <row r="117" spans="1:4">
      <c r="A117" t="s">
        <v>737</v>
      </c>
      <c r="B117" t="s">
        <v>740</v>
      </c>
      <c r="C117">
        <v>5305250101</v>
      </c>
      <c r="D117" t="s">
        <v>737</v>
      </c>
    </row>
    <row r="118" spans="1:4">
      <c r="A118" t="s">
        <v>737</v>
      </c>
      <c r="B118" t="s">
        <v>741</v>
      </c>
      <c r="C118">
        <v>5305050101</v>
      </c>
      <c r="D118" t="s">
        <v>737</v>
      </c>
    </row>
    <row r="119" spans="1:4">
      <c r="A119" t="s">
        <v>737</v>
      </c>
      <c r="B119" t="s">
        <v>742</v>
      </c>
      <c r="C119">
        <v>5305050102</v>
      </c>
      <c r="D119" t="s">
        <v>737</v>
      </c>
    </row>
    <row r="120" spans="1:4">
      <c r="A120" t="s">
        <v>737</v>
      </c>
      <c r="B120" t="s">
        <v>743</v>
      </c>
      <c r="C120">
        <v>5305300101</v>
      </c>
      <c r="D120" t="s">
        <v>737</v>
      </c>
    </row>
    <row r="121" spans="1:4">
      <c r="A121" t="s">
        <v>737</v>
      </c>
      <c r="B121" t="s">
        <v>744</v>
      </c>
      <c r="C121">
        <v>5305200101</v>
      </c>
      <c r="D121" t="s">
        <v>737</v>
      </c>
    </row>
    <row r="122" spans="1:4">
      <c r="A122" t="s">
        <v>737</v>
      </c>
      <c r="B122" t="s">
        <v>745</v>
      </c>
      <c r="C122">
        <v>5305959595</v>
      </c>
      <c r="D122" t="s">
        <v>737</v>
      </c>
    </row>
    <row r="123" spans="1:4">
      <c r="A123" t="s">
        <v>737</v>
      </c>
      <c r="B123" t="s">
        <v>746</v>
      </c>
      <c r="C123">
        <v>5305100101</v>
      </c>
      <c r="D123" t="s">
        <v>737</v>
      </c>
    </row>
    <row r="124" spans="1:4">
      <c r="A124" t="s">
        <v>737</v>
      </c>
      <c r="B124" t="s">
        <v>747</v>
      </c>
      <c r="C124">
        <v>5395959501</v>
      </c>
      <c r="D124" t="s">
        <v>737</v>
      </c>
    </row>
    <row r="125" spans="1:4">
      <c r="A125" t="s">
        <v>737</v>
      </c>
      <c r="B125" t="s">
        <v>748</v>
      </c>
      <c r="C125">
        <v>5395959504</v>
      </c>
      <c r="D125" t="s">
        <v>737</v>
      </c>
    </row>
    <row r="126" spans="1:4">
      <c r="A126" t="s">
        <v>737</v>
      </c>
      <c r="B126" t="s">
        <v>749</v>
      </c>
      <c r="C126">
        <v>5395959503</v>
      </c>
      <c r="D126" t="s">
        <v>737</v>
      </c>
    </row>
    <row r="127" spans="1:4">
      <c r="A127" t="s">
        <v>737</v>
      </c>
      <c r="B127" t="s">
        <v>750</v>
      </c>
      <c r="C127">
        <v>5395959506</v>
      </c>
      <c r="D127" t="s">
        <v>737</v>
      </c>
    </row>
    <row r="128" spans="1:4">
      <c r="A128" t="s">
        <v>737</v>
      </c>
      <c r="B128" t="s">
        <v>751</v>
      </c>
      <c r="C128">
        <v>5395959507</v>
      </c>
      <c r="D128" t="s">
        <v>737</v>
      </c>
    </row>
    <row r="129" spans="1:4">
      <c r="A129" t="s">
        <v>737</v>
      </c>
      <c r="B129" t="s">
        <v>752</v>
      </c>
      <c r="C129">
        <v>5395959505</v>
      </c>
      <c r="D129" t="s">
        <v>737</v>
      </c>
    </row>
    <row r="130" spans="1:4">
      <c r="A130" t="s">
        <v>737</v>
      </c>
      <c r="B130" t="s">
        <v>753</v>
      </c>
      <c r="C130">
        <v>5395050101</v>
      </c>
      <c r="D130" t="s">
        <v>737</v>
      </c>
    </row>
    <row r="131" spans="1:4">
      <c r="A131" t="s">
        <v>737</v>
      </c>
      <c r="B131" t="s">
        <v>754</v>
      </c>
      <c r="C131">
        <v>5395100101</v>
      </c>
      <c r="D131" t="s">
        <v>737</v>
      </c>
    </row>
    <row r="132" spans="1:4">
      <c r="A132" t="s">
        <v>737</v>
      </c>
      <c r="B132" t="s">
        <v>755</v>
      </c>
      <c r="C132">
        <v>5395250101</v>
      </c>
      <c r="D132" t="s">
        <v>737</v>
      </c>
    </row>
    <row r="133" spans="1:4">
      <c r="A133" t="s">
        <v>737</v>
      </c>
      <c r="B133" t="s">
        <v>756</v>
      </c>
      <c r="C133">
        <v>5395959502</v>
      </c>
      <c r="D133" t="s">
        <v>737</v>
      </c>
    </row>
    <row r="134" spans="1:4">
      <c r="A134" t="s">
        <v>737</v>
      </c>
      <c r="B134" t="s">
        <v>757</v>
      </c>
      <c r="C134">
        <v>5395300101</v>
      </c>
      <c r="D134" t="s">
        <v>737</v>
      </c>
    </row>
    <row r="135" spans="1:4">
      <c r="A135" t="s">
        <v>737</v>
      </c>
      <c r="B135" t="s">
        <v>758</v>
      </c>
      <c r="C135">
        <v>5395150101</v>
      </c>
      <c r="D135" t="s">
        <v>737</v>
      </c>
    </row>
    <row r="136" spans="1:4">
      <c r="A136" t="s">
        <v>737</v>
      </c>
      <c r="B136" t="s">
        <v>759</v>
      </c>
      <c r="C136">
        <v>5395200101</v>
      </c>
      <c r="D136" t="s">
        <v>737</v>
      </c>
    </row>
    <row r="137" spans="1:4">
      <c r="A137" t="s">
        <v>737</v>
      </c>
      <c r="B137" t="s">
        <v>760</v>
      </c>
      <c r="C137">
        <v>5395959595</v>
      </c>
      <c r="D137" t="s">
        <v>737</v>
      </c>
    </row>
    <row r="138" spans="1:4">
      <c r="A138" t="s">
        <v>737</v>
      </c>
      <c r="B138" t="s">
        <v>761</v>
      </c>
      <c r="C138">
        <v>5315100101</v>
      </c>
      <c r="D138" t="s">
        <v>737</v>
      </c>
    </row>
    <row r="139" spans="1:4">
      <c r="A139" t="s">
        <v>737</v>
      </c>
      <c r="B139" t="s">
        <v>762</v>
      </c>
      <c r="C139">
        <v>5315959501</v>
      </c>
      <c r="D139" t="s">
        <v>737</v>
      </c>
    </row>
    <row r="140" spans="1:4">
      <c r="A140" t="s">
        <v>737</v>
      </c>
      <c r="B140" t="s">
        <v>763</v>
      </c>
      <c r="C140">
        <v>5315959502</v>
      </c>
      <c r="D140" t="s">
        <v>737</v>
      </c>
    </row>
    <row r="141" spans="1:4">
      <c r="A141" t="s">
        <v>737</v>
      </c>
      <c r="B141" t="s">
        <v>764</v>
      </c>
      <c r="C141">
        <v>5315050101</v>
      </c>
      <c r="D141" t="s">
        <v>737</v>
      </c>
    </row>
    <row r="142" spans="1:4">
      <c r="A142" t="s">
        <v>737</v>
      </c>
      <c r="B142" t="s">
        <v>765</v>
      </c>
      <c r="C142">
        <v>5315150101</v>
      </c>
      <c r="D142" t="s">
        <v>737</v>
      </c>
    </row>
    <row r="143" spans="1:4">
      <c r="A143" t="s">
        <v>737</v>
      </c>
      <c r="B143" t="s">
        <v>766</v>
      </c>
      <c r="C143">
        <v>5315200101</v>
      </c>
      <c r="D143" t="s">
        <v>737</v>
      </c>
    </row>
    <row r="144" spans="1:4">
      <c r="A144" t="s">
        <v>737</v>
      </c>
      <c r="B144" t="s">
        <v>767</v>
      </c>
      <c r="C144">
        <v>5315150102</v>
      </c>
      <c r="D144" t="s">
        <v>737</v>
      </c>
    </row>
    <row r="145" spans="1:4">
      <c r="A145" t="s">
        <v>737</v>
      </c>
      <c r="B145" t="s">
        <v>768</v>
      </c>
      <c r="C145">
        <v>5315959595</v>
      </c>
      <c r="D145" t="s">
        <v>737</v>
      </c>
    </row>
    <row r="148" spans="1:4">
      <c r="A148" t="s">
        <v>769</v>
      </c>
      <c r="B148" t="s">
        <v>627</v>
      </c>
      <c r="C148">
        <v>6209020609</v>
      </c>
      <c r="D148" t="s">
        <v>769</v>
      </c>
    </row>
    <row r="149" spans="1:4">
      <c r="A149" t="s">
        <v>769</v>
      </c>
      <c r="B149" t="s">
        <v>628</v>
      </c>
      <c r="C149">
        <v>6209020602</v>
      </c>
      <c r="D149" t="s">
        <v>769</v>
      </c>
    </row>
    <row r="150" spans="1:4">
      <c r="A150" t="s">
        <v>769</v>
      </c>
      <c r="B150" t="s">
        <v>629</v>
      </c>
      <c r="C150">
        <v>6209020601</v>
      </c>
      <c r="D150" t="s">
        <v>769</v>
      </c>
    </row>
    <row r="151" spans="1:4">
      <c r="A151" t="s">
        <v>769</v>
      </c>
      <c r="B151" t="s">
        <v>630</v>
      </c>
      <c r="C151">
        <v>6209020605</v>
      </c>
      <c r="D151" t="s">
        <v>769</v>
      </c>
    </row>
    <row r="152" spans="1:4">
      <c r="A152" t="s">
        <v>769</v>
      </c>
      <c r="B152" t="s">
        <v>631</v>
      </c>
      <c r="C152">
        <v>6209020607</v>
      </c>
      <c r="D152" t="s">
        <v>769</v>
      </c>
    </row>
    <row r="153" spans="1:4">
      <c r="A153" t="s">
        <v>769</v>
      </c>
      <c r="B153" t="s">
        <v>632</v>
      </c>
      <c r="C153">
        <v>6209020608</v>
      </c>
      <c r="D153" t="s">
        <v>769</v>
      </c>
    </row>
    <row r="154" spans="1:4">
      <c r="A154" t="s">
        <v>769</v>
      </c>
      <c r="B154" t="s">
        <v>633</v>
      </c>
      <c r="C154">
        <v>6209020603</v>
      </c>
      <c r="D154" t="s">
        <v>769</v>
      </c>
    </row>
    <row r="155" spans="1:4">
      <c r="A155" t="s">
        <v>769</v>
      </c>
      <c r="B155" t="s">
        <v>634</v>
      </c>
      <c r="C155">
        <v>6209020604</v>
      </c>
      <c r="D155" t="s">
        <v>769</v>
      </c>
    </row>
    <row r="156" spans="1:4">
      <c r="A156" t="s">
        <v>769</v>
      </c>
      <c r="B156" t="s">
        <v>635</v>
      </c>
      <c r="C156">
        <v>6209020610</v>
      </c>
      <c r="D156" t="s">
        <v>769</v>
      </c>
    </row>
    <row r="157" spans="1:4">
      <c r="A157" t="s">
        <v>769</v>
      </c>
      <c r="B157" t="s">
        <v>636</v>
      </c>
      <c r="C157">
        <v>6209020606</v>
      </c>
      <c r="D157" t="s">
        <v>769</v>
      </c>
    </row>
    <row r="158" spans="1:4">
      <c r="A158" t="s">
        <v>769</v>
      </c>
      <c r="B158" t="s">
        <v>770</v>
      </c>
      <c r="C158">
        <v>6209022302</v>
      </c>
      <c r="D158" t="s">
        <v>769</v>
      </c>
    </row>
    <row r="159" spans="1:4">
      <c r="A159" t="s">
        <v>769</v>
      </c>
      <c r="B159" t="s">
        <v>771</v>
      </c>
      <c r="C159">
        <v>6209022301</v>
      </c>
      <c r="D159" t="s">
        <v>769</v>
      </c>
    </row>
    <row r="160" spans="1:4">
      <c r="A160" t="s">
        <v>769</v>
      </c>
      <c r="B160" t="s">
        <v>772</v>
      </c>
      <c r="C160">
        <v>6209022303</v>
      </c>
      <c r="D160" t="s">
        <v>769</v>
      </c>
    </row>
    <row r="161" spans="1:4">
      <c r="A161" t="s">
        <v>769</v>
      </c>
      <c r="B161" t="s">
        <v>773</v>
      </c>
      <c r="C161">
        <v>6209100402</v>
      </c>
      <c r="D161" t="s">
        <v>769</v>
      </c>
    </row>
    <row r="162" spans="1:4">
      <c r="A162" t="s">
        <v>769</v>
      </c>
      <c r="B162" t="s">
        <v>774</v>
      </c>
      <c r="C162">
        <v>6209100401</v>
      </c>
      <c r="D162" t="s">
        <v>769</v>
      </c>
    </row>
    <row r="163" spans="1:4">
      <c r="A163" t="s">
        <v>769</v>
      </c>
      <c r="B163" t="s">
        <v>775</v>
      </c>
      <c r="C163">
        <v>6209100303</v>
      </c>
      <c r="D163" t="s">
        <v>769</v>
      </c>
    </row>
    <row r="164" spans="1:4">
      <c r="A164" t="s">
        <v>769</v>
      </c>
      <c r="B164" t="s">
        <v>637</v>
      </c>
      <c r="C164">
        <v>6209100301</v>
      </c>
      <c r="D164" t="s">
        <v>769</v>
      </c>
    </row>
    <row r="165" spans="1:4">
      <c r="A165" t="s">
        <v>769</v>
      </c>
      <c r="B165" t="s">
        <v>776</v>
      </c>
      <c r="C165">
        <v>6209100501</v>
      </c>
      <c r="D165" t="s">
        <v>769</v>
      </c>
    </row>
    <row r="166" spans="1:4">
      <c r="A166" t="s">
        <v>769</v>
      </c>
      <c r="B166" t="s">
        <v>638</v>
      </c>
      <c r="C166">
        <v>6209020902</v>
      </c>
      <c r="D166" t="s">
        <v>769</v>
      </c>
    </row>
    <row r="167" spans="1:4">
      <c r="A167" t="s">
        <v>769</v>
      </c>
      <c r="B167" t="s">
        <v>639</v>
      </c>
      <c r="C167">
        <v>6209020901</v>
      </c>
      <c r="D167" t="s">
        <v>769</v>
      </c>
    </row>
    <row r="168" spans="1:4">
      <c r="A168" t="s">
        <v>769</v>
      </c>
      <c r="B168" t="s">
        <v>640</v>
      </c>
      <c r="C168">
        <v>6209020101</v>
      </c>
      <c r="D168" t="s">
        <v>769</v>
      </c>
    </row>
    <row r="169" spans="1:4">
      <c r="A169" t="s">
        <v>769</v>
      </c>
      <c r="B169" t="s">
        <v>641</v>
      </c>
      <c r="C169">
        <v>6209021201</v>
      </c>
      <c r="D169" t="s">
        <v>769</v>
      </c>
    </row>
    <row r="170" spans="1:4">
      <c r="A170" t="s">
        <v>769</v>
      </c>
      <c r="B170" t="s">
        <v>642</v>
      </c>
      <c r="C170">
        <v>6209021202</v>
      </c>
      <c r="D170" t="s">
        <v>769</v>
      </c>
    </row>
    <row r="171" spans="1:4">
      <c r="A171" t="s">
        <v>769</v>
      </c>
      <c r="B171" t="s">
        <v>643</v>
      </c>
      <c r="C171">
        <v>6209021203</v>
      </c>
      <c r="D171" t="s">
        <v>769</v>
      </c>
    </row>
    <row r="172" spans="1:4">
      <c r="A172" t="s">
        <v>769</v>
      </c>
      <c r="B172" t="s">
        <v>644</v>
      </c>
      <c r="C172">
        <v>6209021204</v>
      </c>
      <c r="D172" t="s">
        <v>769</v>
      </c>
    </row>
    <row r="173" spans="1:4">
      <c r="A173" t="s">
        <v>769</v>
      </c>
      <c r="B173" t="s">
        <v>645</v>
      </c>
      <c r="C173">
        <v>6209022002</v>
      </c>
      <c r="D173" t="s">
        <v>769</v>
      </c>
    </row>
    <row r="174" spans="1:4">
      <c r="A174" t="s">
        <v>769</v>
      </c>
      <c r="B174" t="s">
        <v>646</v>
      </c>
      <c r="C174">
        <v>6209022001</v>
      </c>
      <c r="D174" t="s">
        <v>769</v>
      </c>
    </row>
    <row r="175" spans="1:4">
      <c r="A175" t="s">
        <v>769</v>
      </c>
      <c r="B175" t="s">
        <v>647</v>
      </c>
      <c r="C175">
        <v>6209022201</v>
      </c>
      <c r="D175" t="s">
        <v>769</v>
      </c>
    </row>
    <row r="176" spans="1:4">
      <c r="A176" t="s">
        <v>769</v>
      </c>
      <c r="B176" t="s">
        <v>648</v>
      </c>
      <c r="C176">
        <v>6209020501</v>
      </c>
      <c r="D176" t="s">
        <v>769</v>
      </c>
    </row>
    <row r="177" spans="1:4">
      <c r="A177" t="s">
        <v>769</v>
      </c>
      <c r="B177" t="s">
        <v>649</v>
      </c>
      <c r="C177">
        <v>6209020505</v>
      </c>
      <c r="D177" t="s">
        <v>769</v>
      </c>
    </row>
    <row r="178" spans="1:4">
      <c r="A178" t="s">
        <v>769</v>
      </c>
      <c r="B178" t="s">
        <v>650</v>
      </c>
      <c r="C178">
        <v>6209020503</v>
      </c>
      <c r="D178" t="s">
        <v>769</v>
      </c>
    </row>
    <row r="179" spans="1:4">
      <c r="A179" t="s">
        <v>769</v>
      </c>
      <c r="B179" t="s">
        <v>652</v>
      </c>
      <c r="C179">
        <v>6209021601</v>
      </c>
      <c r="D179" t="s">
        <v>769</v>
      </c>
    </row>
    <row r="180" spans="1:4">
      <c r="A180" t="s">
        <v>769</v>
      </c>
      <c r="B180" t="s">
        <v>653</v>
      </c>
      <c r="C180">
        <v>6209021602</v>
      </c>
      <c r="D180" t="s">
        <v>769</v>
      </c>
    </row>
    <row r="181" spans="1:4">
      <c r="A181" t="s">
        <v>769</v>
      </c>
      <c r="B181" t="s">
        <v>654</v>
      </c>
      <c r="C181">
        <v>6209020202</v>
      </c>
      <c r="D181" t="s">
        <v>769</v>
      </c>
    </row>
    <row r="182" spans="1:4">
      <c r="A182" t="s">
        <v>769</v>
      </c>
      <c r="B182" t="s">
        <v>655</v>
      </c>
      <c r="C182">
        <v>6209020201</v>
      </c>
      <c r="D182" t="s">
        <v>769</v>
      </c>
    </row>
    <row r="183" spans="1:4">
      <c r="A183" t="s">
        <v>769</v>
      </c>
      <c r="B183" t="s">
        <v>656</v>
      </c>
      <c r="C183">
        <v>6209020203</v>
      </c>
      <c r="D183" t="s">
        <v>769</v>
      </c>
    </row>
    <row r="184" spans="1:4">
      <c r="A184" t="s">
        <v>769</v>
      </c>
      <c r="B184" t="s">
        <v>657</v>
      </c>
      <c r="C184">
        <v>6209080106</v>
      </c>
      <c r="D184" t="s">
        <v>769</v>
      </c>
    </row>
    <row r="185" spans="1:4">
      <c r="A185" t="s">
        <v>769</v>
      </c>
      <c r="B185" t="s">
        <v>658</v>
      </c>
      <c r="C185">
        <v>6209080108</v>
      </c>
      <c r="D185" t="s">
        <v>769</v>
      </c>
    </row>
    <row r="186" spans="1:4">
      <c r="A186" t="s">
        <v>769</v>
      </c>
      <c r="B186" t="s">
        <v>659</v>
      </c>
      <c r="C186">
        <v>6209080107</v>
      </c>
      <c r="D186" t="s">
        <v>769</v>
      </c>
    </row>
    <row r="187" spans="1:4">
      <c r="A187" t="s">
        <v>769</v>
      </c>
      <c r="B187" t="s">
        <v>660</v>
      </c>
      <c r="C187">
        <v>6209080101</v>
      </c>
      <c r="D187" t="s">
        <v>769</v>
      </c>
    </row>
    <row r="188" spans="1:4">
      <c r="A188" t="s">
        <v>769</v>
      </c>
      <c r="B188" t="s">
        <v>661</v>
      </c>
      <c r="C188">
        <v>6209080103</v>
      </c>
      <c r="D188" t="s">
        <v>769</v>
      </c>
    </row>
    <row r="189" spans="1:4">
      <c r="A189" t="s">
        <v>769</v>
      </c>
      <c r="B189" t="s">
        <v>662</v>
      </c>
      <c r="C189">
        <v>6209080102</v>
      </c>
      <c r="D189" t="s">
        <v>769</v>
      </c>
    </row>
    <row r="190" spans="1:4">
      <c r="A190" t="s">
        <v>769</v>
      </c>
      <c r="B190" t="s">
        <v>663</v>
      </c>
      <c r="C190">
        <v>6209080104</v>
      </c>
      <c r="D190" t="s">
        <v>769</v>
      </c>
    </row>
    <row r="191" spans="1:4">
      <c r="A191" t="s">
        <v>769</v>
      </c>
      <c r="B191" t="s">
        <v>664</v>
      </c>
      <c r="C191">
        <v>6209080105</v>
      </c>
      <c r="D191" t="s">
        <v>769</v>
      </c>
    </row>
    <row r="192" spans="1:4">
      <c r="A192" t="s">
        <v>769</v>
      </c>
      <c r="B192" t="s">
        <v>665</v>
      </c>
      <c r="C192">
        <v>6209021815</v>
      </c>
      <c r="D192" t="s">
        <v>769</v>
      </c>
    </row>
    <row r="193" spans="1:4">
      <c r="A193" t="s">
        <v>769</v>
      </c>
      <c r="B193" t="s">
        <v>666</v>
      </c>
      <c r="C193">
        <v>6209020709</v>
      </c>
      <c r="D193" t="s">
        <v>769</v>
      </c>
    </row>
    <row r="194" spans="1:4">
      <c r="A194" t="s">
        <v>769</v>
      </c>
      <c r="B194" t="s">
        <v>667</v>
      </c>
      <c r="C194">
        <v>6209020710</v>
      </c>
      <c r="D194" t="s">
        <v>769</v>
      </c>
    </row>
    <row r="195" spans="1:4">
      <c r="A195" t="s">
        <v>769</v>
      </c>
      <c r="B195" t="s">
        <v>668</v>
      </c>
      <c r="C195">
        <v>6209020702</v>
      </c>
      <c r="D195" t="s">
        <v>769</v>
      </c>
    </row>
    <row r="196" spans="1:4">
      <c r="A196" t="s">
        <v>769</v>
      </c>
      <c r="B196" t="s">
        <v>669</v>
      </c>
      <c r="C196">
        <v>6209020701</v>
      </c>
      <c r="D196" t="s">
        <v>769</v>
      </c>
    </row>
    <row r="197" spans="1:4">
      <c r="A197" t="s">
        <v>769</v>
      </c>
      <c r="B197" t="s">
        <v>670</v>
      </c>
      <c r="C197">
        <v>6209020705</v>
      </c>
      <c r="D197" t="s">
        <v>769</v>
      </c>
    </row>
    <row r="198" spans="1:4">
      <c r="A198" t="s">
        <v>769</v>
      </c>
      <c r="B198" t="s">
        <v>671</v>
      </c>
      <c r="C198">
        <v>6209020707</v>
      </c>
      <c r="D198" t="s">
        <v>769</v>
      </c>
    </row>
    <row r="199" spans="1:4">
      <c r="A199" t="s">
        <v>769</v>
      </c>
      <c r="B199" t="s">
        <v>672</v>
      </c>
      <c r="C199">
        <v>6209020708</v>
      </c>
      <c r="D199" t="s">
        <v>769</v>
      </c>
    </row>
    <row r="200" spans="1:4">
      <c r="A200" t="s">
        <v>769</v>
      </c>
      <c r="B200" t="s">
        <v>673</v>
      </c>
      <c r="C200">
        <v>6209020703</v>
      </c>
      <c r="D200" t="s">
        <v>769</v>
      </c>
    </row>
    <row r="201" spans="1:4">
      <c r="A201" t="s">
        <v>769</v>
      </c>
      <c r="B201" t="s">
        <v>674</v>
      </c>
      <c r="C201">
        <v>6209020704</v>
      </c>
      <c r="D201" t="s">
        <v>769</v>
      </c>
    </row>
    <row r="202" spans="1:4">
      <c r="A202" t="s">
        <v>769</v>
      </c>
      <c r="B202" t="s">
        <v>675</v>
      </c>
      <c r="C202">
        <v>6209020712</v>
      </c>
      <c r="D202" t="s">
        <v>769</v>
      </c>
    </row>
    <row r="203" spans="1:4">
      <c r="A203" t="s">
        <v>769</v>
      </c>
      <c r="B203" t="s">
        <v>676</v>
      </c>
      <c r="C203">
        <v>6209020711</v>
      </c>
      <c r="D203" t="s">
        <v>769</v>
      </c>
    </row>
    <row r="204" spans="1:4">
      <c r="A204" t="s">
        <v>769</v>
      </c>
      <c r="B204" t="s">
        <v>677</v>
      </c>
      <c r="C204">
        <v>6209020706</v>
      </c>
      <c r="D204" t="s">
        <v>769</v>
      </c>
    </row>
    <row r="205" spans="1:4">
      <c r="A205" t="s">
        <v>769</v>
      </c>
      <c r="B205" t="s">
        <v>678</v>
      </c>
      <c r="C205">
        <v>6209021801</v>
      </c>
      <c r="D205" t="s">
        <v>769</v>
      </c>
    </row>
    <row r="206" spans="1:4">
      <c r="A206" t="s">
        <v>769</v>
      </c>
      <c r="B206" t="s">
        <v>679</v>
      </c>
      <c r="C206">
        <v>6209021810</v>
      </c>
      <c r="D206" t="s">
        <v>769</v>
      </c>
    </row>
    <row r="207" spans="1:4">
      <c r="A207" t="s">
        <v>769</v>
      </c>
      <c r="B207" t="s">
        <v>680</v>
      </c>
      <c r="C207">
        <v>6209021802</v>
      </c>
      <c r="D207" t="s">
        <v>769</v>
      </c>
    </row>
    <row r="208" spans="1:4">
      <c r="A208" t="s">
        <v>769</v>
      </c>
      <c r="B208" t="s">
        <v>681</v>
      </c>
      <c r="C208">
        <v>6209021808</v>
      </c>
      <c r="D208" t="s">
        <v>769</v>
      </c>
    </row>
    <row r="209" spans="1:4">
      <c r="A209" t="s">
        <v>769</v>
      </c>
      <c r="B209" t="s">
        <v>682</v>
      </c>
      <c r="C209">
        <v>6209021803</v>
      </c>
      <c r="D209" t="s">
        <v>769</v>
      </c>
    </row>
    <row r="210" spans="1:4">
      <c r="A210" t="s">
        <v>769</v>
      </c>
      <c r="B210" t="s">
        <v>683</v>
      </c>
      <c r="C210">
        <v>6209021804</v>
      </c>
      <c r="D210" t="s">
        <v>769</v>
      </c>
    </row>
    <row r="211" spans="1:4">
      <c r="A211" t="s">
        <v>769</v>
      </c>
      <c r="B211" t="s">
        <v>684</v>
      </c>
      <c r="C211">
        <v>6209021809</v>
      </c>
      <c r="D211" t="s">
        <v>769</v>
      </c>
    </row>
    <row r="212" spans="1:4">
      <c r="A212" t="s">
        <v>769</v>
      </c>
      <c r="B212" t="s">
        <v>685</v>
      </c>
      <c r="C212">
        <v>6209021805</v>
      </c>
      <c r="D212" t="s">
        <v>769</v>
      </c>
    </row>
    <row r="213" spans="1:4">
      <c r="A213" t="s">
        <v>769</v>
      </c>
      <c r="B213" t="s">
        <v>686</v>
      </c>
      <c r="C213">
        <v>6209021814</v>
      </c>
      <c r="D213" t="s">
        <v>769</v>
      </c>
    </row>
    <row r="214" spans="1:4">
      <c r="A214" t="s">
        <v>769</v>
      </c>
      <c r="B214" t="s">
        <v>687</v>
      </c>
      <c r="C214">
        <v>6209021806</v>
      </c>
      <c r="D214" t="s">
        <v>769</v>
      </c>
    </row>
    <row r="215" spans="1:4">
      <c r="A215" t="s">
        <v>769</v>
      </c>
      <c r="B215" t="s">
        <v>688</v>
      </c>
      <c r="C215">
        <v>6209021807</v>
      </c>
      <c r="D215" t="s">
        <v>769</v>
      </c>
    </row>
    <row r="216" spans="1:4">
      <c r="A216" t="s">
        <v>769</v>
      </c>
      <c r="B216" t="s">
        <v>689</v>
      </c>
      <c r="C216">
        <v>6209021002</v>
      </c>
      <c r="D216" t="s">
        <v>769</v>
      </c>
    </row>
    <row r="217" spans="1:4">
      <c r="A217" t="s">
        <v>769</v>
      </c>
      <c r="B217" t="s">
        <v>690</v>
      </c>
      <c r="C217">
        <v>6209021001</v>
      </c>
      <c r="D217" t="s">
        <v>769</v>
      </c>
    </row>
    <row r="218" spans="1:4">
      <c r="A218" t="s">
        <v>769</v>
      </c>
      <c r="B218" t="s">
        <v>691</v>
      </c>
      <c r="C218">
        <v>6209021007</v>
      </c>
      <c r="D218" t="s">
        <v>769</v>
      </c>
    </row>
    <row r="219" spans="1:4">
      <c r="A219" t="s">
        <v>769</v>
      </c>
      <c r="B219" t="s">
        <v>692</v>
      </c>
      <c r="C219">
        <v>6209021005</v>
      </c>
      <c r="D219" t="s">
        <v>769</v>
      </c>
    </row>
    <row r="220" spans="1:4">
      <c r="A220" t="s">
        <v>769</v>
      </c>
      <c r="B220" t="s">
        <v>693</v>
      </c>
      <c r="C220">
        <v>6209021006</v>
      </c>
      <c r="D220" t="s">
        <v>769</v>
      </c>
    </row>
    <row r="221" spans="1:4">
      <c r="A221" t="s">
        <v>769</v>
      </c>
      <c r="B221" t="s">
        <v>694</v>
      </c>
      <c r="C221">
        <v>6209021008</v>
      </c>
      <c r="D221" t="s">
        <v>769</v>
      </c>
    </row>
    <row r="222" spans="1:4">
      <c r="A222" t="s">
        <v>769</v>
      </c>
      <c r="B222" t="s">
        <v>695</v>
      </c>
      <c r="C222">
        <v>6209021004</v>
      </c>
      <c r="D222" t="s">
        <v>769</v>
      </c>
    </row>
    <row r="223" spans="1:4">
      <c r="A223" t="s">
        <v>769</v>
      </c>
      <c r="B223" t="s">
        <v>696</v>
      </c>
      <c r="C223">
        <v>6209021003</v>
      </c>
      <c r="D223" t="s">
        <v>769</v>
      </c>
    </row>
    <row r="224" spans="1:4">
      <c r="A224" t="s">
        <v>769</v>
      </c>
      <c r="B224" t="s">
        <v>697</v>
      </c>
      <c r="C224">
        <v>6209021301</v>
      </c>
      <c r="D224" t="s">
        <v>769</v>
      </c>
    </row>
    <row r="225" spans="1:4">
      <c r="A225" t="s">
        <v>769</v>
      </c>
      <c r="B225" t="s">
        <v>698</v>
      </c>
      <c r="C225">
        <v>6209020803</v>
      </c>
      <c r="D225" t="s">
        <v>769</v>
      </c>
    </row>
    <row r="226" spans="1:4">
      <c r="A226" t="s">
        <v>769</v>
      </c>
      <c r="B226" t="s">
        <v>699</v>
      </c>
      <c r="C226">
        <v>6209020802</v>
      </c>
      <c r="D226" t="s">
        <v>769</v>
      </c>
    </row>
    <row r="227" spans="1:4">
      <c r="A227" t="s">
        <v>769</v>
      </c>
      <c r="B227" t="s">
        <v>700</v>
      </c>
      <c r="C227">
        <v>6209020807</v>
      </c>
      <c r="D227" t="s">
        <v>769</v>
      </c>
    </row>
    <row r="228" spans="1:4">
      <c r="A228" t="s">
        <v>769</v>
      </c>
      <c r="B228" t="s">
        <v>701</v>
      </c>
      <c r="C228">
        <v>6209020804</v>
      </c>
      <c r="D228" t="s">
        <v>769</v>
      </c>
    </row>
    <row r="229" spans="1:4">
      <c r="A229" t="s">
        <v>769</v>
      </c>
      <c r="B229" t="s">
        <v>702</v>
      </c>
      <c r="C229">
        <v>6209020812</v>
      </c>
      <c r="D229" t="s">
        <v>769</v>
      </c>
    </row>
    <row r="230" spans="1:4">
      <c r="A230" t="s">
        <v>769</v>
      </c>
      <c r="B230" t="s">
        <v>703</v>
      </c>
      <c r="C230">
        <v>6209020801</v>
      </c>
      <c r="D230" t="s">
        <v>769</v>
      </c>
    </row>
    <row r="231" spans="1:4">
      <c r="A231" t="s">
        <v>769</v>
      </c>
      <c r="B231" t="s">
        <v>704</v>
      </c>
      <c r="C231">
        <v>6209020811</v>
      </c>
      <c r="D231" t="s">
        <v>769</v>
      </c>
    </row>
    <row r="232" spans="1:4">
      <c r="A232" t="s">
        <v>769</v>
      </c>
      <c r="B232" t="s">
        <v>705</v>
      </c>
      <c r="C232">
        <v>6209020814</v>
      </c>
      <c r="D232" t="s">
        <v>769</v>
      </c>
    </row>
    <row r="233" spans="1:4">
      <c r="A233" t="s">
        <v>769</v>
      </c>
      <c r="B233" t="s">
        <v>777</v>
      </c>
      <c r="C233">
        <v>6209020808</v>
      </c>
      <c r="D233" t="s">
        <v>769</v>
      </c>
    </row>
    <row r="234" spans="1:4">
      <c r="A234" t="s">
        <v>769</v>
      </c>
      <c r="B234" t="s">
        <v>707</v>
      </c>
      <c r="C234">
        <v>6209020809</v>
      </c>
      <c r="D234" t="s">
        <v>769</v>
      </c>
    </row>
    <row r="235" spans="1:4">
      <c r="A235" t="s">
        <v>769</v>
      </c>
      <c r="B235" t="s">
        <v>708</v>
      </c>
      <c r="C235">
        <v>6209020810</v>
      </c>
      <c r="D235" t="s">
        <v>769</v>
      </c>
    </row>
    <row r="236" spans="1:4">
      <c r="A236" t="s">
        <v>769</v>
      </c>
      <c r="B236" t="s">
        <v>709</v>
      </c>
      <c r="C236">
        <v>6209020806</v>
      </c>
      <c r="D236" t="s">
        <v>769</v>
      </c>
    </row>
    <row r="237" spans="1:4">
      <c r="A237" t="s">
        <v>769</v>
      </c>
      <c r="B237" t="s">
        <v>710</v>
      </c>
      <c r="C237">
        <v>6209020805</v>
      </c>
      <c r="D237" t="s">
        <v>769</v>
      </c>
    </row>
    <row r="238" spans="1:4">
      <c r="A238" t="s">
        <v>769</v>
      </c>
      <c r="B238" t="s">
        <v>711</v>
      </c>
      <c r="C238">
        <v>6209020813</v>
      </c>
      <c r="D238" t="s">
        <v>769</v>
      </c>
    </row>
    <row r="239" spans="1:4">
      <c r="A239" t="s">
        <v>769</v>
      </c>
      <c r="B239" t="s">
        <v>712</v>
      </c>
      <c r="C239">
        <v>6209021401</v>
      </c>
      <c r="D239" t="s">
        <v>769</v>
      </c>
    </row>
    <row r="240" spans="1:4">
      <c r="A240" t="s">
        <v>769</v>
      </c>
      <c r="B240" t="s">
        <v>713</v>
      </c>
      <c r="C240">
        <v>6209021402</v>
      </c>
      <c r="D240" t="s">
        <v>769</v>
      </c>
    </row>
    <row r="241" spans="1:4">
      <c r="A241" t="s">
        <v>769</v>
      </c>
      <c r="B241" t="s">
        <v>714</v>
      </c>
      <c r="C241">
        <v>6209021501</v>
      </c>
      <c r="D241" t="s">
        <v>769</v>
      </c>
    </row>
    <row r="242" spans="1:4">
      <c r="A242" t="s">
        <v>769</v>
      </c>
      <c r="B242" t="s">
        <v>715</v>
      </c>
      <c r="C242">
        <v>6209020402</v>
      </c>
      <c r="D242" t="s">
        <v>769</v>
      </c>
    </row>
    <row r="243" spans="1:4">
      <c r="A243" t="s">
        <v>769</v>
      </c>
      <c r="B243" t="s">
        <v>716</v>
      </c>
      <c r="C243">
        <v>6209020401</v>
      </c>
      <c r="D243" t="s">
        <v>769</v>
      </c>
    </row>
    <row r="244" spans="1:4">
      <c r="A244" t="s">
        <v>769</v>
      </c>
      <c r="B244" t="s">
        <v>717</v>
      </c>
      <c r="C244">
        <v>6209020403</v>
      </c>
      <c r="D244" t="s">
        <v>769</v>
      </c>
    </row>
    <row r="245" spans="1:4">
      <c r="A245" t="s">
        <v>769</v>
      </c>
      <c r="B245" t="s">
        <v>718</v>
      </c>
      <c r="C245">
        <v>6209020407</v>
      </c>
      <c r="D245" t="s">
        <v>769</v>
      </c>
    </row>
    <row r="246" spans="1:4">
      <c r="A246" t="s">
        <v>769</v>
      </c>
      <c r="B246" t="s">
        <v>719</v>
      </c>
      <c r="C246">
        <v>6209020406</v>
      </c>
      <c r="D246" t="s">
        <v>769</v>
      </c>
    </row>
    <row r="247" spans="1:4">
      <c r="A247" t="s">
        <v>769</v>
      </c>
      <c r="B247" t="s">
        <v>720</v>
      </c>
      <c r="C247">
        <v>6209020404</v>
      </c>
      <c r="D247" t="s">
        <v>769</v>
      </c>
    </row>
    <row r="248" spans="1:4">
      <c r="A248" t="s">
        <v>769</v>
      </c>
      <c r="B248" t="s">
        <v>721</v>
      </c>
      <c r="C248">
        <v>6209020405</v>
      </c>
      <c r="D248" t="s">
        <v>769</v>
      </c>
    </row>
    <row r="249" spans="1:4">
      <c r="A249" t="s">
        <v>769</v>
      </c>
      <c r="B249" t="s">
        <v>722</v>
      </c>
      <c r="C249">
        <v>6209020408</v>
      </c>
      <c r="D249" t="s">
        <v>769</v>
      </c>
    </row>
    <row r="250" spans="1:4">
      <c r="A250" t="s">
        <v>769</v>
      </c>
      <c r="B250" t="s">
        <v>723</v>
      </c>
      <c r="C250">
        <v>6209020301</v>
      </c>
      <c r="D250" t="s">
        <v>769</v>
      </c>
    </row>
    <row r="251" spans="1:4">
      <c r="A251" t="s">
        <v>769</v>
      </c>
      <c r="B251" t="s">
        <v>724</v>
      </c>
      <c r="C251">
        <v>6209020305</v>
      </c>
      <c r="D251" t="s">
        <v>769</v>
      </c>
    </row>
    <row r="252" spans="1:4">
      <c r="A252" t="s">
        <v>769</v>
      </c>
      <c r="B252" t="s">
        <v>725</v>
      </c>
      <c r="C252">
        <v>6209020307</v>
      </c>
      <c r="D252" t="s">
        <v>769</v>
      </c>
    </row>
    <row r="253" spans="1:4">
      <c r="A253" t="s">
        <v>769</v>
      </c>
      <c r="B253" t="s">
        <v>726</v>
      </c>
      <c r="C253">
        <v>6209020306</v>
      </c>
      <c r="D253" t="s">
        <v>769</v>
      </c>
    </row>
    <row r="254" spans="1:4">
      <c r="A254" t="s">
        <v>769</v>
      </c>
      <c r="B254" t="s">
        <v>727</v>
      </c>
      <c r="C254">
        <v>6209020308</v>
      </c>
      <c r="D254" t="s">
        <v>769</v>
      </c>
    </row>
    <row r="255" spans="1:4">
      <c r="A255" t="s">
        <v>769</v>
      </c>
      <c r="B255" t="s">
        <v>728</v>
      </c>
      <c r="C255">
        <v>6209020310</v>
      </c>
      <c r="D255" t="s">
        <v>769</v>
      </c>
    </row>
    <row r="256" spans="1:4">
      <c r="A256" t="s">
        <v>769</v>
      </c>
      <c r="B256" t="s">
        <v>729</v>
      </c>
      <c r="C256">
        <v>6209020311</v>
      </c>
      <c r="D256" t="s">
        <v>769</v>
      </c>
    </row>
    <row r="257" spans="1:4">
      <c r="A257" t="s">
        <v>769</v>
      </c>
      <c r="B257" t="s">
        <v>730</v>
      </c>
      <c r="C257">
        <v>6209020312</v>
      </c>
      <c r="D257" t="s">
        <v>769</v>
      </c>
    </row>
    <row r="258" spans="1:4">
      <c r="A258" t="s">
        <v>769</v>
      </c>
      <c r="B258" t="s">
        <v>731</v>
      </c>
      <c r="C258">
        <v>6209020302</v>
      </c>
      <c r="D258" t="s">
        <v>769</v>
      </c>
    </row>
    <row r="259" spans="1:4">
      <c r="A259" t="s">
        <v>769</v>
      </c>
      <c r="B259" t="s">
        <v>732</v>
      </c>
      <c r="C259">
        <v>6209020303</v>
      </c>
      <c r="D259" t="s">
        <v>769</v>
      </c>
    </row>
    <row r="260" spans="1:4">
      <c r="A260" t="s">
        <v>769</v>
      </c>
      <c r="B260" t="s">
        <v>733</v>
      </c>
      <c r="C260">
        <v>6209020309</v>
      </c>
      <c r="D260" t="s">
        <v>769</v>
      </c>
    </row>
    <row r="261" spans="1:4">
      <c r="A261" t="s">
        <v>769</v>
      </c>
      <c r="B261" t="s">
        <v>734</v>
      </c>
      <c r="C261">
        <v>6209020304</v>
      </c>
      <c r="D261" t="s">
        <v>769</v>
      </c>
    </row>
    <row r="264" spans="1:4">
      <c r="A264" t="s">
        <v>464</v>
      </c>
      <c r="B264" t="s">
        <v>778</v>
      </c>
      <c r="C264">
        <v>6208020609</v>
      </c>
      <c r="D264" t="s">
        <v>464</v>
      </c>
    </row>
    <row r="265" spans="1:4">
      <c r="A265" t="s">
        <v>464</v>
      </c>
      <c r="B265" t="s">
        <v>779</v>
      </c>
      <c r="C265">
        <v>6208020602</v>
      </c>
      <c r="D265" t="s">
        <v>464</v>
      </c>
    </row>
    <row r="266" spans="1:4">
      <c r="A266" t="s">
        <v>464</v>
      </c>
      <c r="B266" t="s">
        <v>780</v>
      </c>
      <c r="C266">
        <v>6208020601</v>
      </c>
      <c r="D266" t="s">
        <v>464</v>
      </c>
    </row>
    <row r="267" spans="1:4">
      <c r="A267" t="s">
        <v>464</v>
      </c>
      <c r="B267" t="s">
        <v>781</v>
      </c>
      <c r="C267">
        <v>6208020605</v>
      </c>
      <c r="D267" t="s">
        <v>464</v>
      </c>
    </row>
    <row r="268" spans="1:4">
      <c r="A268" t="s">
        <v>464</v>
      </c>
      <c r="B268" t="s">
        <v>782</v>
      </c>
      <c r="C268">
        <v>6208020607</v>
      </c>
      <c r="D268" t="s">
        <v>464</v>
      </c>
    </row>
    <row r="269" spans="1:4">
      <c r="A269" t="s">
        <v>464</v>
      </c>
      <c r="B269" t="s">
        <v>783</v>
      </c>
      <c r="C269">
        <v>6208020608</v>
      </c>
      <c r="D269" t="s">
        <v>464</v>
      </c>
    </row>
    <row r="270" spans="1:4">
      <c r="A270" t="s">
        <v>464</v>
      </c>
      <c r="B270" t="s">
        <v>784</v>
      </c>
      <c r="C270">
        <v>6208020603</v>
      </c>
      <c r="D270" t="s">
        <v>464</v>
      </c>
    </row>
    <row r="271" spans="1:4">
      <c r="A271" t="s">
        <v>464</v>
      </c>
      <c r="B271" t="s">
        <v>785</v>
      </c>
      <c r="C271">
        <v>6208020604</v>
      </c>
      <c r="D271" t="s">
        <v>464</v>
      </c>
    </row>
    <row r="272" spans="1:4">
      <c r="A272" t="s">
        <v>464</v>
      </c>
      <c r="B272" t="s">
        <v>786</v>
      </c>
      <c r="C272">
        <v>6208020610</v>
      </c>
      <c r="D272" t="s">
        <v>464</v>
      </c>
    </row>
    <row r="273" spans="1:4">
      <c r="A273" t="s">
        <v>464</v>
      </c>
      <c r="B273" t="s">
        <v>787</v>
      </c>
      <c r="C273">
        <v>6208020606</v>
      </c>
      <c r="D273" t="s">
        <v>464</v>
      </c>
    </row>
    <row r="274" spans="1:4">
      <c r="A274" t="s">
        <v>464</v>
      </c>
      <c r="B274" t="s">
        <v>788</v>
      </c>
      <c r="C274">
        <v>6208022302</v>
      </c>
      <c r="D274" t="s">
        <v>464</v>
      </c>
    </row>
    <row r="275" spans="1:4">
      <c r="A275" t="s">
        <v>464</v>
      </c>
      <c r="B275" t="s">
        <v>789</v>
      </c>
      <c r="C275">
        <v>6208022301</v>
      </c>
      <c r="D275" t="s">
        <v>464</v>
      </c>
    </row>
    <row r="276" spans="1:4">
      <c r="A276" t="s">
        <v>464</v>
      </c>
      <c r="B276" t="s">
        <v>790</v>
      </c>
      <c r="C276">
        <v>6208022303</v>
      </c>
      <c r="D276" t="s">
        <v>464</v>
      </c>
    </row>
    <row r="277" spans="1:4">
      <c r="A277" t="s">
        <v>464</v>
      </c>
      <c r="B277" t="s">
        <v>791</v>
      </c>
      <c r="C277">
        <v>6208100303</v>
      </c>
      <c r="D277" t="s">
        <v>464</v>
      </c>
    </row>
    <row r="278" spans="1:4">
      <c r="A278" t="s">
        <v>464</v>
      </c>
      <c r="B278" t="s">
        <v>792</v>
      </c>
      <c r="C278">
        <v>6208100301</v>
      </c>
      <c r="D278" t="s">
        <v>464</v>
      </c>
    </row>
    <row r="279" spans="1:4">
      <c r="A279" t="s">
        <v>464</v>
      </c>
      <c r="B279" t="s">
        <v>793</v>
      </c>
      <c r="C279">
        <v>6208020902</v>
      </c>
      <c r="D279" t="s">
        <v>464</v>
      </c>
    </row>
    <row r="280" spans="1:4">
      <c r="A280" t="s">
        <v>464</v>
      </c>
      <c r="B280" t="s">
        <v>794</v>
      </c>
      <c r="C280">
        <v>6208020901</v>
      </c>
      <c r="D280" t="s">
        <v>464</v>
      </c>
    </row>
    <row r="281" spans="1:4">
      <c r="A281" t="s">
        <v>464</v>
      </c>
      <c r="B281" t="s">
        <v>795</v>
      </c>
      <c r="C281">
        <v>6208020101</v>
      </c>
      <c r="D281" t="s">
        <v>464</v>
      </c>
    </row>
    <row r="282" spans="1:4">
      <c r="A282" t="s">
        <v>464</v>
      </c>
      <c r="B282" t="s">
        <v>796</v>
      </c>
      <c r="C282">
        <v>6208021201</v>
      </c>
      <c r="D282" t="s">
        <v>464</v>
      </c>
    </row>
    <row r="283" spans="1:4">
      <c r="A283" t="s">
        <v>464</v>
      </c>
      <c r="B283" t="s">
        <v>797</v>
      </c>
      <c r="C283">
        <v>6208021202</v>
      </c>
      <c r="D283" t="s">
        <v>464</v>
      </c>
    </row>
    <row r="284" spans="1:4">
      <c r="A284" t="s">
        <v>464</v>
      </c>
      <c r="B284" t="s">
        <v>798</v>
      </c>
      <c r="C284">
        <v>6208021203</v>
      </c>
      <c r="D284" t="s">
        <v>464</v>
      </c>
    </row>
    <row r="285" spans="1:4">
      <c r="A285" t="s">
        <v>464</v>
      </c>
      <c r="B285" t="s">
        <v>799</v>
      </c>
      <c r="C285">
        <v>6208021204</v>
      </c>
      <c r="D285" t="s">
        <v>464</v>
      </c>
    </row>
    <row r="286" spans="1:4">
      <c r="A286" t="s">
        <v>464</v>
      </c>
      <c r="B286" t="s">
        <v>800</v>
      </c>
      <c r="C286">
        <v>6208022002</v>
      </c>
      <c r="D286" t="s">
        <v>464</v>
      </c>
    </row>
    <row r="287" spans="1:4">
      <c r="A287" t="s">
        <v>464</v>
      </c>
      <c r="B287" t="s">
        <v>801</v>
      </c>
      <c r="C287">
        <v>6208022001</v>
      </c>
      <c r="D287" t="s">
        <v>464</v>
      </c>
    </row>
    <row r="288" spans="1:4">
      <c r="A288" t="s">
        <v>464</v>
      </c>
      <c r="B288" t="s">
        <v>802</v>
      </c>
      <c r="C288">
        <v>6208022201</v>
      </c>
      <c r="D288" t="s">
        <v>464</v>
      </c>
    </row>
    <row r="289" spans="1:4">
      <c r="A289" t="s">
        <v>464</v>
      </c>
      <c r="B289" t="s">
        <v>803</v>
      </c>
      <c r="C289">
        <v>6208020501</v>
      </c>
      <c r="D289" t="s">
        <v>464</v>
      </c>
    </row>
    <row r="290" spans="1:4">
      <c r="A290" t="s">
        <v>464</v>
      </c>
      <c r="B290" t="s">
        <v>804</v>
      </c>
      <c r="C290">
        <v>6208020505</v>
      </c>
      <c r="D290" t="s">
        <v>464</v>
      </c>
    </row>
    <row r="291" spans="1:4">
      <c r="A291" t="s">
        <v>464</v>
      </c>
      <c r="B291" t="s">
        <v>805</v>
      </c>
      <c r="C291">
        <v>6208020503</v>
      </c>
      <c r="D291" t="s">
        <v>464</v>
      </c>
    </row>
    <row r="292" spans="1:4">
      <c r="A292" t="s">
        <v>464</v>
      </c>
      <c r="B292" t="s">
        <v>806</v>
      </c>
      <c r="C292">
        <v>6208100501</v>
      </c>
      <c r="D292" t="s">
        <v>464</v>
      </c>
    </row>
    <row r="293" spans="1:4">
      <c r="A293" t="s">
        <v>464</v>
      </c>
      <c r="B293" t="s">
        <v>807</v>
      </c>
      <c r="C293">
        <v>6208021601</v>
      </c>
      <c r="D293" t="s">
        <v>464</v>
      </c>
    </row>
    <row r="294" spans="1:4">
      <c r="A294" t="s">
        <v>464</v>
      </c>
      <c r="B294" t="s">
        <v>808</v>
      </c>
      <c r="C294">
        <v>6208021602</v>
      </c>
      <c r="D294" t="s">
        <v>464</v>
      </c>
    </row>
    <row r="295" spans="1:4">
      <c r="A295" t="s">
        <v>464</v>
      </c>
      <c r="B295" t="s">
        <v>809</v>
      </c>
      <c r="C295">
        <v>6208020202</v>
      </c>
      <c r="D295" t="s">
        <v>464</v>
      </c>
    </row>
    <row r="296" spans="1:4">
      <c r="A296" t="s">
        <v>464</v>
      </c>
      <c r="B296" t="s">
        <v>810</v>
      </c>
      <c r="C296">
        <v>6208020201</v>
      </c>
      <c r="D296" t="s">
        <v>464</v>
      </c>
    </row>
    <row r="297" spans="1:4">
      <c r="A297" t="s">
        <v>464</v>
      </c>
      <c r="B297" t="s">
        <v>811</v>
      </c>
      <c r="C297">
        <v>6208020203</v>
      </c>
      <c r="D297" t="s">
        <v>464</v>
      </c>
    </row>
    <row r="298" spans="1:4">
      <c r="A298" t="s">
        <v>464</v>
      </c>
      <c r="B298" t="s">
        <v>812</v>
      </c>
      <c r="C298">
        <v>6208080106</v>
      </c>
      <c r="D298" t="s">
        <v>464</v>
      </c>
    </row>
    <row r="299" spans="1:4">
      <c r="A299" t="s">
        <v>464</v>
      </c>
      <c r="B299" t="s">
        <v>813</v>
      </c>
      <c r="C299">
        <v>6208080108</v>
      </c>
      <c r="D299" t="s">
        <v>464</v>
      </c>
    </row>
    <row r="300" spans="1:4">
      <c r="A300" t="s">
        <v>464</v>
      </c>
      <c r="B300" t="s">
        <v>814</v>
      </c>
      <c r="C300">
        <v>6208080107</v>
      </c>
      <c r="D300" t="s">
        <v>464</v>
      </c>
    </row>
    <row r="301" spans="1:4">
      <c r="A301" t="s">
        <v>464</v>
      </c>
      <c r="B301" t="s">
        <v>815</v>
      </c>
      <c r="C301">
        <v>6208080101</v>
      </c>
      <c r="D301" t="s">
        <v>464</v>
      </c>
    </row>
    <row r="302" spans="1:4">
      <c r="A302" t="s">
        <v>464</v>
      </c>
      <c r="B302" t="s">
        <v>816</v>
      </c>
      <c r="C302">
        <v>6208080103</v>
      </c>
      <c r="D302" t="s">
        <v>464</v>
      </c>
    </row>
    <row r="303" spans="1:4">
      <c r="A303" t="s">
        <v>464</v>
      </c>
      <c r="B303" t="s">
        <v>817</v>
      </c>
      <c r="C303">
        <v>6208080102</v>
      </c>
      <c r="D303" t="s">
        <v>464</v>
      </c>
    </row>
    <row r="304" spans="1:4">
      <c r="A304" t="s">
        <v>464</v>
      </c>
      <c r="B304" t="s">
        <v>818</v>
      </c>
      <c r="C304">
        <v>6208080104</v>
      </c>
      <c r="D304" t="s">
        <v>464</v>
      </c>
    </row>
    <row r="305" spans="1:4">
      <c r="A305" t="s">
        <v>464</v>
      </c>
      <c r="B305" t="s">
        <v>819</v>
      </c>
      <c r="C305">
        <v>6208080105</v>
      </c>
      <c r="D305" t="s">
        <v>464</v>
      </c>
    </row>
    <row r="306" spans="1:4">
      <c r="A306" t="s">
        <v>464</v>
      </c>
      <c r="B306" t="s">
        <v>820</v>
      </c>
      <c r="C306">
        <v>6208021815</v>
      </c>
      <c r="D306" t="s">
        <v>464</v>
      </c>
    </row>
    <row r="307" spans="1:4">
      <c r="A307" t="s">
        <v>464</v>
      </c>
      <c r="B307" t="s">
        <v>821</v>
      </c>
      <c r="C307">
        <v>6208020709</v>
      </c>
      <c r="D307" t="s">
        <v>464</v>
      </c>
    </row>
    <row r="308" spans="1:4">
      <c r="A308" t="s">
        <v>464</v>
      </c>
      <c r="B308" t="s">
        <v>822</v>
      </c>
      <c r="C308">
        <v>6208020710</v>
      </c>
      <c r="D308" t="s">
        <v>464</v>
      </c>
    </row>
    <row r="309" spans="1:4">
      <c r="A309" t="s">
        <v>464</v>
      </c>
      <c r="B309" t="s">
        <v>823</v>
      </c>
      <c r="C309">
        <v>6208020702</v>
      </c>
      <c r="D309" t="s">
        <v>464</v>
      </c>
    </row>
    <row r="310" spans="1:4">
      <c r="A310" t="s">
        <v>464</v>
      </c>
      <c r="B310" t="s">
        <v>824</v>
      </c>
      <c r="C310">
        <v>6208020701</v>
      </c>
      <c r="D310" t="s">
        <v>464</v>
      </c>
    </row>
    <row r="311" spans="1:4">
      <c r="A311" t="s">
        <v>464</v>
      </c>
      <c r="B311" t="s">
        <v>825</v>
      </c>
      <c r="C311">
        <v>6208020705</v>
      </c>
      <c r="D311" t="s">
        <v>464</v>
      </c>
    </row>
    <row r="312" spans="1:4">
      <c r="A312" t="s">
        <v>464</v>
      </c>
      <c r="B312" t="s">
        <v>826</v>
      </c>
      <c r="C312">
        <v>6208020707</v>
      </c>
      <c r="D312" t="s">
        <v>464</v>
      </c>
    </row>
    <row r="313" spans="1:4">
      <c r="A313" t="s">
        <v>464</v>
      </c>
      <c r="B313" t="s">
        <v>827</v>
      </c>
      <c r="C313">
        <v>6208020708</v>
      </c>
      <c r="D313" t="s">
        <v>464</v>
      </c>
    </row>
    <row r="314" spans="1:4">
      <c r="A314" t="s">
        <v>464</v>
      </c>
      <c r="B314" t="s">
        <v>828</v>
      </c>
      <c r="C314">
        <v>6208020703</v>
      </c>
      <c r="D314" t="s">
        <v>464</v>
      </c>
    </row>
    <row r="315" spans="1:4">
      <c r="A315" t="s">
        <v>464</v>
      </c>
      <c r="B315" t="s">
        <v>829</v>
      </c>
      <c r="C315">
        <v>6208020704</v>
      </c>
      <c r="D315" t="s">
        <v>464</v>
      </c>
    </row>
    <row r="316" spans="1:4">
      <c r="A316" t="s">
        <v>464</v>
      </c>
      <c r="B316" t="s">
        <v>830</v>
      </c>
      <c r="C316">
        <v>6208020712</v>
      </c>
      <c r="D316" t="s">
        <v>464</v>
      </c>
    </row>
    <row r="317" spans="1:4">
      <c r="A317" t="s">
        <v>464</v>
      </c>
      <c r="B317" t="s">
        <v>831</v>
      </c>
      <c r="C317">
        <v>6208020711</v>
      </c>
      <c r="D317" t="s">
        <v>464</v>
      </c>
    </row>
    <row r="318" spans="1:4">
      <c r="A318" t="s">
        <v>464</v>
      </c>
      <c r="B318" t="s">
        <v>832</v>
      </c>
      <c r="C318">
        <v>6208020706</v>
      </c>
      <c r="D318" t="s">
        <v>464</v>
      </c>
    </row>
    <row r="319" spans="1:4">
      <c r="A319" t="s">
        <v>464</v>
      </c>
      <c r="B319" t="s">
        <v>833</v>
      </c>
      <c r="C319">
        <v>6208021801</v>
      </c>
      <c r="D319" t="s">
        <v>464</v>
      </c>
    </row>
    <row r="320" spans="1:4">
      <c r="A320" t="s">
        <v>464</v>
      </c>
      <c r="B320" t="s">
        <v>834</v>
      </c>
      <c r="C320">
        <v>6208021810</v>
      </c>
      <c r="D320" t="s">
        <v>464</v>
      </c>
    </row>
    <row r="321" spans="1:4">
      <c r="A321" t="s">
        <v>464</v>
      </c>
      <c r="B321" t="s">
        <v>835</v>
      </c>
      <c r="C321">
        <v>6208021802</v>
      </c>
      <c r="D321" t="s">
        <v>464</v>
      </c>
    </row>
    <row r="322" spans="1:4">
      <c r="A322" t="s">
        <v>464</v>
      </c>
      <c r="B322" t="s">
        <v>836</v>
      </c>
      <c r="C322">
        <v>6208021808</v>
      </c>
      <c r="D322" t="s">
        <v>464</v>
      </c>
    </row>
    <row r="323" spans="1:4">
      <c r="A323" t="s">
        <v>464</v>
      </c>
      <c r="B323" t="s">
        <v>837</v>
      </c>
      <c r="C323">
        <v>6208021803</v>
      </c>
      <c r="D323" t="s">
        <v>464</v>
      </c>
    </row>
    <row r="324" spans="1:4">
      <c r="A324" t="s">
        <v>464</v>
      </c>
      <c r="B324" t="s">
        <v>838</v>
      </c>
      <c r="C324">
        <v>6208021804</v>
      </c>
      <c r="D324" t="s">
        <v>464</v>
      </c>
    </row>
    <row r="325" spans="1:4">
      <c r="A325" t="s">
        <v>464</v>
      </c>
      <c r="B325" t="s">
        <v>839</v>
      </c>
      <c r="C325">
        <v>6208021809</v>
      </c>
      <c r="D325" t="s">
        <v>464</v>
      </c>
    </row>
    <row r="326" spans="1:4">
      <c r="A326" t="s">
        <v>464</v>
      </c>
      <c r="B326" t="s">
        <v>840</v>
      </c>
      <c r="C326">
        <v>6208021805</v>
      </c>
      <c r="D326" t="s">
        <v>464</v>
      </c>
    </row>
    <row r="327" spans="1:4">
      <c r="A327" t="s">
        <v>464</v>
      </c>
      <c r="B327" t="s">
        <v>841</v>
      </c>
      <c r="C327">
        <v>6208021814</v>
      </c>
      <c r="D327" t="s">
        <v>464</v>
      </c>
    </row>
    <row r="328" spans="1:4">
      <c r="A328" t="s">
        <v>464</v>
      </c>
      <c r="B328" t="s">
        <v>842</v>
      </c>
      <c r="C328">
        <v>6208021806</v>
      </c>
      <c r="D328" t="s">
        <v>464</v>
      </c>
    </row>
    <row r="329" spans="1:4">
      <c r="A329" t="s">
        <v>464</v>
      </c>
      <c r="B329" t="s">
        <v>843</v>
      </c>
      <c r="C329">
        <v>6208021807</v>
      </c>
      <c r="D329" t="s">
        <v>464</v>
      </c>
    </row>
    <row r="330" spans="1:4">
      <c r="A330" t="s">
        <v>464</v>
      </c>
      <c r="B330" t="s">
        <v>844</v>
      </c>
      <c r="C330">
        <v>6208021002</v>
      </c>
      <c r="D330" t="s">
        <v>464</v>
      </c>
    </row>
    <row r="331" spans="1:4">
      <c r="A331" t="s">
        <v>464</v>
      </c>
      <c r="B331" t="s">
        <v>845</v>
      </c>
      <c r="C331">
        <v>6208021001</v>
      </c>
      <c r="D331" t="s">
        <v>464</v>
      </c>
    </row>
    <row r="332" spans="1:4">
      <c r="A332" t="s">
        <v>464</v>
      </c>
      <c r="B332" t="s">
        <v>846</v>
      </c>
      <c r="C332">
        <v>6208021007</v>
      </c>
      <c r="D332" t="s">
        <v>464</v>
      </c>
    </row>
    <row r="333" spans="1:4">
      <c r="A333" t="s">
        <v>464</v>
      </c>
      <c r="B333" t="s">
        <v>847</v>
      </c>
      <c r="C333">
        <v>6208021005</v>
      </c>
      <c r="D333" t="s">
        <v>464</v>
      </c>
    </row>
    <row r="334" spans="1:4">
      <c r="A334" t="s">
        <v>464</v>
      </c>
      <c r="B334" t="s">
        <v>848</v>
      </c>
      <c r="C334">
        <v>6208021006</v>
      </c>
      <c r="D334" t="s">
        <v>464</v>
      </c>
    </row>
    <row r="335" spans="1:4">
      <c r="A335" t="s">
        <v>464</v>
      </c>
      <c r="B335" t="s">
        <v>849</v>
      </c>
      <c r="C335">
        <v>6208021008</v>
      </c>
      <c r="D335" t="s">
        <v>464</v>
      </c>
    </row>
    <row r="336" spans="1:4">
      <c r="A336" t="s">
        <v>464</v>
      </c>
      <c r="B336" t="s">
        <v>850</v>
      </c>
      <c r="C336">
        <v>6208021004</v>
      </c>
      <c r="D336" t="s">
        <v>464</v>
      </c>
    </row>
    <row r="337" spans="1:4">
      <c r="A337" t="s">
        <v>464</v>
      </c>
      <c r="B337" t="s">
        <v>851</v>
      </c>
      <c r="C337">
        <v>6208021003</v>
      </c>
      <c r="D337" t="s">
        <v>464</v>
      </c>
    </row>
    <row r="338" spans="1:4">
      <c r="A338" t="s">
        <v>464</v>
      </c>
      <c r="B338" t="s">
        <v>852</v>
      </c>
      <c r="C338">
        <v>6208021301</v>
      </c>
      <c r="D338" t="s">
        <v>464</v>
      </c>
    </row>
    <row r="339" spans="1:4">
      <c r="A339" t="s">
        <v>464</v>
      </c>
      <c r="B339" t="s">
        <v>853</v>
      </c>
      <c r="C339">
        <v>6208020803</v>
      </c>
      <c r="D339" t="s">
        <v>464</v>
      </c>
    </row>
    <row r="340" spans="1:4">
      <c r="A340" t="s">
        <v>464</v>
      </c>
      <c r="B340" t="s">
        <v>854</v>
      </c>
      <c r="C340">
        <v>6208020802</v>
      </c>
      <c r="D340" t="s">
        <v>464</v>
      </c>
    </row>
    <row r="341" spans="1:4">
      <c r="A341" t="s">
        <v>464</v>
      </c>
      <c r="B341" t="s">
        <v>855</v>
      </c>
      <c r="C341">
        <v>6208020807</v>
      </c>
      <c r="D341" t="s">
        <v>464</v>
      </c>
    </row>
    <row r="342" spans="1:4">
      <c r="A342" t="s">
        <v>464</v>
      </c>
      <c r="B342" t="s">
        <v>856</v>
      </c>
      <c r="C342">
        <v>6208020804</v>
      </c>
      <c r="D342" t="s">
        <v>464</v>
      </c>
    </row>
    <row r="343" spans="1:4">
      <c r="A343" t="s">
        <v>464</v>
      </c>
      <c r="B343" t="s">
        <v>857</v>
      </c>
      <c r="C343">
        <v>6208020812</v>
      </c>
      <c r="D343" t="s">
        <v>464</v>
      </c>
    </row>
    <row r="344" spans="1:4">
      <c r="A344" t="s">
        <v>464</v>
      </c>
      <c r="B344" t="s">
        <v>858</v>
      </c>
      <c r="C344">
        <v>6208020801</v>
      </c>
      <c r="D344" t="s">
        <v>464</v>
      </c>
    </row>
    <row r="345" spans="1:4">
      <c r="A345" t="s">
        <v>464</v>
      </c>
      <c r="B345" t="s">
        <v>859</v>
      </c>
      <c r="C345">
        <v>6208020811</v>
      </c>
      <c r="D345" t="s">
        <v>464</v>
      </c>
    </row>
    <row r="346" spans="1:4">
      <c r="A346" t="s">
        <v>464</v>
      </c>
      <c r="B346" t="s">
        <v>860</v>
      </c>
      <c r="C346">
        <v>6208020814</v>
      </c>
      <c r="D346" t="s">
        <v>464</v>
      </c>
    </row>
    <row r="347" spans="1:4">
      <c r="A347" t="s">
        <v>464</v>
      </c>
      <c r="B347" t="s">
        <v>861</v>
      </c>
      <c r="C347">
        <v>6208020808</v>
      </c>
      <c r="D347" t="s">
        <v>464</v>
      </c>
    </row>
    <row r="348" spans="1:4">
      <c r="A348" t="s">
        <v>464</v>
      </c>
      <c r="B348" t="s">
        <v>862</v>
      </c>
      <c r="C348">
        <v>6208020809</v>
      </c>
      <c r="D348" t="s">
        <v>464</v>
      </c>
    </row>
    <row r="349" spans="1:4">
      <c r="A349" t="s">
        <v>464</v>
      </c>
      <c r="B349" t="s">
        <v>863</v>
      </c>
      <c r="C349">
        <v>6208020810</v>
      </c>
      <c r="D349" t="s">
        <v>464</v>
      </c>
    </row>
    <row r="350" spans="1:4">
      <c r="A350" t="s">
        <v>464</v>
      </c>
      <c r="B350" t="s">
        <v>864</v>
      </c>
      <c r="C350">
        <v>6208020806</v>
      </c>
      <c r="D350" t="s">
        <v>464</v>
      </c>
    </row>
    <row r="351" spans="1:4">
      <c r="A351" t="s">
        <v>464</v>
      </c>
      <c r="B351" t="s">
        <v>865</v>
      </c>
      <c r="C351">
        <v>6208020805</v>
      </c>
      <c r="D351" t="s">
        <v>464</v>
      </c>
    </row>
    <row r="352" spans="1:4">
      <c r="A352" t="s">
        <v>464</v>
      </c>
      <c r="B352" t="s">
        <v>866</v>
      </c>
      <c r="C352">
        <v>6208020813</v>
      </c>
      <c r="D352" t="s">
        <v>464</v>
      </c>
    </row>
    <row r="353" spans="1:4">
      <c r="A353" t="s">
        <v>464</v>
      </c>
      <c r="B353" t="s">
        <v>867</v>
      </c>
      <c r="C353">
        <v>6208050306</v>
      </c>
      <c r="D353" t="s">
        <v>464</v>
      </c>
    </row>
    <row r="354" spans="1:4">
      <c r="A354" t="s">
        <v>464</v>
      </c>
      <c r="B354" t="s">
        <v>868</v>
      </c>
      <c r="C354">
        <v>6208021401</v>
      </c>
      <c r="D354" t="s">
        <v>464</v>
      </c>
    </row>
    <row r="355" spans="1:4">
      <c r="A355" t="s">
        <v>464</v>
      </c>
      <c r="B355" t="s">
        <v>869</v>
      </c>
      <c r="C355">
        <v>6208021402</v>
      </c>
      <c r="D355" t="s">
        <v>464</v>
      </c>
    </row>
    <row r="356" spans="1:4">
      <c r="A356" t="s">
        <v>464</v>
      </c>
      <c r="B356" t="s">
        <v>870</v>
      </c>
      <c r="C356">
        <v>6208021501</v>
      </c>
      <c r="D356" t="s">
        <v>464</v>
      </c>
    </row>
    <row r="357" spans="1:4">
      <c r="A357" t="s">
        <v>464</v>
      </c>
      <c r="B357" t="s">
        <v>871</v>
      </c>
      <c r="C357">
        <v>6208020402</v>
      </c>
      <c r="D357" t="s">
        <v>464</v>
      </c>
    </row>
    <row r="358" spans="1:4">
      <c r="A358" t="s">
        <v>464</v>
      </c>
      <c r="B358" t="s">
        <v>872</v>
      </c>
      <c r="C358">
        <v>6208020401</v>
      </c>
      <c r="D358" t="s">
        <v>464</v>
      </c>
    </row>
    <row r="359" spans="1:4">
      <c r="A359" t="s">
        <v>464</v>
      </c>
      <c r="B359" t="s">
        <v>873</v>
      </c>
      <c r="C359">
        <v>6208020403</v>
      </c>
      <c r="D359" t="s">
        <v>464</v>
      </c>
    </row>
    <row r="360" spans="1:4">
      <c r="A360" t="s">
        <v>464</v>
      </c>
      <c r="B360" t="s">
        <v>874</v>
      </c>
      <c r="C360">
        <v>6208020407</v>
      </c>
      <c r="D360" t="s">
        <v>464</v>
      </c>
    </row>
    <row r="361" spans="1:4">
      <c r="A361" t="s">
        <v>464</v>
      </c>
      <c r="B361" t="s">
        <v>875</v>
      </c>
      <c r="C361">
        <v>6208020406</v>
      </c>
      <c r="D361" t="s">
        <v>464</v>
      </c>
    </row>
    <row r="362" spans="1:4">
      <c r="A362" t="s">
        <v>464</v>
      </c>
      <c r="B362" t="s">
        <v>876</v>
      </c>
      <c r="C362">
        <v>6208020404</v>
      </c>
      <c r="D362" t="s">
        <v>464</v>
      </c>
    </row>
    <row r="363" spans="1:4">
      <c r="A363" t="s">
        <v>464</v>
      </c>
      <c r="B363" t="s">
        <v>877</v>
      </c>
      <c r="C363">
        <v>6208020405</v>
      </c>
      <c r="D363" t="s">
        <v>464</v>
      </c>
    </row>
    <row r="364" spans="1:4">
      <c r="A364" t="s">
        <v>464</v>
      </c>
      <c r="B364" t="s">
        <v>878</v>
      </c>
      <c r="C364">
        <v>6208020408</v>
      </c>
      <c r="D364" t="s">
        <v>464</v>
      </c>
    </row>
    <row r="365" spans="1:4">
      <c r="A365" t="s">
        <v>464</v>
      </c>
      <c r="B365" t="s">
        <v>879</v>
      </c>
      <c r="C365">
        <v>6208020301</v>
      </c>
      <c r="D365" t="s">
        <v>464</v>
      </c>
    </row>
    <row r="366" spans="1:4">
      <c r="A366" t="s">
        <v>464</v>
      </c>
      <c r="B366" t="s">
        <v>880</v>
      </c>
      <c r="C366">
        <v>6208020305</v>
      </c>
      <c r="D366" t="s">
        <v>464</v>
      </c>
    </row>
    <row r="367" spans="1:4">
      <c r="A367" t="s">
        <v>464</v>
      </c>
      <c r="B367" t="s">
        <v>881</v>
      </c>
      <c r="C367">
        <v>6208020307</v>
      </c>
      <c r="D367" t="s">
        <v>464</v>
      </c>
    </row>
    <row r="368" spans="1:4">
      <c r="A368" t="s">
        <v>464</v>
      </c>
      <c r="B368" t="s">
        <v>882</v>
      </c>
      <c r="C368">
        <v>6208020306</v>
      </c>
      <c r="D368" t="s">
        <v>464</v>
      </c>
    </row>
    <row r="369" spans="1:4">
      <c r="A369" t="s">
        <v>464</v>
      </c>
      <c r="B369" t="s">
        <v>883</v>
      </c>
      <c r="C369">
        <v>6208020308</v>
      </c>
      <c r="D369" t="s">
        <v>464</v>
      </c>
    </row>
    <row r="370" spans="1:4">
      <c r="A370" t="s">
        <v>464</v>
      </c>
      <c r="B370" t="s">
        <v>884</v>
      </c>
      <c r="C370">
        <v>6208020310</v>
      </c>
      <c r="D370" t="s">
        <v>464</v>
      </c>
    </row>
    <row r="371" spans="1:4">
      <c r="A371" t="s">
        <v>464</v>
      </c>
      <c r="B371" t="s">
        <v>885</v>
      </c>
      <c r="C371">
        <v>6208020311</v>
      </c>
      <c r="D371" t="s">
        <v>464</v>
      </c>
    </row>
    <row r="372" spans="1:4">
      <c r="A372" t="s">
        <v>464</v>
      </c>
      <c r="B372" t="s">
        <v>886</v>
      </c>
      <c r="C372">
        <v>6208020312</v>
      </c>
      <c r="D372" t="s">
        <v>464</v>
      </c>
    </row>
    <row r="373" spans="1:4">
      <c r="A373" t="s">
        <v>464</v>
      </c>
      <c r="B373" t="s">
        <v>887</v>
      </c>
      <c r="C373">
        <v>6208020302</v>
      </c>
      <c r="D373" t="s">
        <v>464</v>
      </c>
    </row>
    <row r="374" spans="1:4">
      <c r="A374" t="s">
        <v>464</v>
      </c>
      <c r="B374" t="s">
        <v>888</v>
      </c>
      <c r="C374">
        <v>6208020303</v>
      </c>
      <c r="D374" t="s">
        <v>464</v>
      </c>
    </row>
    <row r="375" spans="1:4">
      <c r="A375" t="s">
        <v>464</v>
      </c>
      <c r="B375" t="s">
        <v>889</v>
      </c>
      <c r="C375">
        <v>6208020309</v>
      </c>
      <c r="D375" t="s">
        <v>464</v>
      </c>
    </row>
    <row r="376" spans="1:4">
      <c r="A376" t="s">
        <v>464</v>
      </c>
      <c r="B376" t="s">
        <v>890</v>
      </c>
      <c r="C376">
        <v>6208020304</v>
      </c>
      <c r="D376" t="s">
        <v>464</v>
      </c>
    </row>
    <row r="377" spans="1:4">
      <c r="A377" t="s">
        <v>464</v>
      </c>
      <c r="B377" t="s">
        <v>891</v>
      </c>
      <c r="C377">
        <v>6208100402</v>
      </c>
      <c r="D377" t="s">
        <v>464</v>
      </c>
    </row>
    <row r="378" spans="1:4">
      <c r="A378" t="s">
        <v>464</v>
      </c>
      <c r="B378" t="s">
        <v>747</v>
      </c>
      <c r="C378">
        <v>5395959501</v>
      </c>
      <c r="D378" t="s">
        <v>464</v>
      </c>
    </row>
    <row r="379" spans="1:4">
      <c r="A379" t="s">
        <v>464</v>
      </c>
      <c r="B379" t="s">
        <v>892</v>
      </c>
      <c r="C379">
        <v>6208100401</v>
      </c>
      <c r="D379" t="s">
        <v>464</v>
      </c>
    </row>
    <row r="382" spans="1:4">
      <c r="A382" t="s">
        <v>893</v>
      </c>
      <c r="B382" t="s">
        <v>894</v>
      </c>
      <c r="C382">
        <v>1556100101</v>
      </c>
      <c r="D382" t="s">
        <v>893</v>
      </c>
    </row>
    <row r="383" spans="1:4">
      <c r="A383" t="s">
        <v>893</v>
      </c>
      <c r="B383" t="s">
        <v>895</v>
      </c>
      <c r="C383">
        <v>1560050101</v>
      </c>
      <c r="D383" t="s">
        <v>893</v>
      </c>
    </row>
    <row r="384" spans="1:4">
      <c r="A384" t="s">
        <v>893</v>
      </c>
      <c r="B384" t="s">
        <v>896</v>
      </c>
      <c r="C384">
        <v>1540050101</v>
      </c>
      <c r="D384" t="s">
        <v>893</v>
      </c>
    </row>
    <row r="385" spans="1:4">
      <c r="A385" t="s">
        <v>893</v>
      </c>
      <c r="B385" t="s">
        <v>897</v>
      </c>
      <c r="C385">
        <v>1805100101</v>
      </c>
      <c r="D385" t="s">
        <v>893</v>
      </c>
    </row>
    <row r="386" spans="1:4">
      <c r="A386" t="s">
        <v>893</v>
      </c>
      <c r="B386" t="s">
        <v>898</v>
      </c>
      <c r="C386">
        <v>1516150101</v>
      </c>
      <c r="D386" t="s">
        <v>893</v>
      </c>
    </row>
    <row r="387" spans="1:4">
      <c r="A387" t="s">
        <v>893</v>
      </c>
      <c r="B387" t="s">
        <v>899</v>
      </c>
      <c r="C387">
        <v>1508050101</v>
      </c>
      <c r="D387" t="s">
        <v>893</v>
      </c>
    </row>
    <row r="388" spans="1:4">
      <c r="A388" t="s">
        <v>893</v>
      </c>
      <c r="B388" t="s">
        <v>900</v>
      </c>
      <c r="C388">
        <v>1584050102</v>
      </c>
      <c r="D388" t="s">
        <v>893</v>
      </c>
    </row>
    <row r="389" spans="1:4">
      <c r="A389" t="s">
        <v>893</v>
      </c>
      <c r="B389" t="s">
        <v>901</v>
      </c>
      <c r="C389">
        <v>1516050101</v>
      </c>
      <c r="D389" t="s">
        <v>893</v>
      </c>
    </row>
    <row r="390" spans="1:4">
      <c r="A390" t="s">
        <v>893</v>
      </c>
      <c r="B390" t="s">
        <v>902</v>
      </c>
      <c r="C390">
        <v>1805959501</v>
      </c>
      <c r="D390" t="s">
        <v>893</v>
      </c>
    </row>
    <row r="391" spans="1:4">
      <c r="A391" t="s">
        <v>893</v>
      </c>
      <c r="B391" t="s">
        <v>903</v>
      </c>
      <c r="C391">
        <v>1805050101</v>
      </c>
      <c r="D391" t="s">
        <v>893</v>
      </c>
    </row>
    <row r="392" spans="1:4">
      <c r="A392" t="s">
        <v>893</v>
      </c>
      <c r="B392" t="s">
        <v>904</v>
      </c>
      <c r="C392">
        <v>1520050103</v>
      </c>
      <c r="D392" t="s">
        <v>893</v>
      </c>
    </row>
    <row r="393" spans="1:4">
      <c r="A393" t="s">
        <v>893</v>
      </c>
      <c r="B393" t="s">
        <v>905</v>
      </c>
      <c r="C393">
        <v>1520050107</v>
      </c>
      <c r="D393" t="s">
        <v>893</v>
      </c>
    </row>
    <row r="394" spans="1:4">
      <c r="A394" t="s">
        <v>893</v>
      </c>
      <c r="B394" t="s">
        <v>906</v>
      </c>
      <c r="C394">
        <v>1520050106</v>
      </c>
      <c r="D394" t="s">
        <v>893</v>
      </c>
    </row>
    <row r="395" spans="1:4">
      <c r="A395" t="s">
        <v>893</v>
      </c>
      <c r="B395" t="s">
        <v>907</v>
      </c>
      <c r="C395">
        <v>1520050102</v>
      </c>
      <c r="D395" t="s">
        <v>893</v>
      </c>
    </row>
    <row r="396" spans="1:4">
      <c r="A396" t="s">
        <v>893</v>
      </c>
      <c r="B396" t="s">
        <v>908</v>
      </c>
      <c r="C396">
        <v>1520050104</v>
      </c>
      <c r="D396" t="s">
        <v>893</v>
      </c>
    </row>
    <row r="397" spans="1:4">
      <c r="A397" t="s">
        <v>893</v>
      </c>
      <c r="B397" t="s">
        <v>909</v>
      </c>
      <c r="C397">
        <v>1520050108</v>
      </c>
      <c r="D397" t="s">
        <v>893</v>
      </c>
    </row>
    <row r="398" spans="1:4">
      <c r="A398" t="s">
        <v>893</v>
      </c>
      <c r="B398" t="s">
        <v>910</v>
      </c>
      <c r="C398">
        <v>1528100101</v>
      </c>
      <c r="D398" t="s">
        <v>893</v>
      </c>
    </row>
    <row r="399" spans="1:4">
      <c r="A399" t="s">
        <v>893</v>
      </c>
      <c r="B399" t="s">
        <v>911</v>
      </c>
      <c r="C399">
        <v>1524100101</v>
      </c>
      <c r="D399" t="s">
        <v>893</v>
      </c>
    </row>
    <row r="400" spans="1:4">
      <c r="A400" t="s">
        <v>893</v>
      </c>
      <c r="B400" t="s">
        <v>912</v>
      </c>
      <c r="C400">
        <v>1528150101</v>
      </c>
      <c r="D400" t="s">
        <v>893</v>
      </c>
    </row>
    <row r="401" spans="1:4">
      <c r="A401" t="s">
        <v>893</v>
      </c>
      <c r="B401" t="s">
        <v>913</v>
      </c>
      <c r="C401">
        <v>1805100102</v>
      </c>
      <c r="D401" t="s">
        <v>893</v>
      </c>
    </row>
    <row r="402" spans="1:4">
      <c r="A402" t="s">
        <v>893</v>
      </c>
      <c r="B402" t="s">
        <v>913</v>
      </c>
      <c r="C402">
        <v>1805959502</v>
      </c>
      <c r="D402" t="s">
        <v>893</v>
      </c>
    </row>
    <row r="403" spans="1:4">
      <c r="A403" t="s">
        <v>893</v>
      </c>
      <c r="B403" t="s">
        <v>914</v>
      </c>
      <c r="C403">
        <v>1528050101</v>
      </c>
      <c r="D403" t="s">
        <v>893</v>
      </c>
    </row>
    <row r="404" spans="1:4">
      <c r="A404" t="s">
        <v>893</v>
      </c>
      <c r="B404" t="s">
        <v>915</v>
      </c>
      <c r="C404">
        <v>1805100103</v>
      </c>
      <c r="D404" t="s">
        <v>893</v>
      </c>
    </row>
    <row r="405" spans="1:4">
      <c r="A405" t="s">
        <v>893</v>
      </c>
      <c r="B405" t="s">
        <v>915</v>
      </c>
      <c r="C405">
        <v>1805959503</v>
      </c>
      <c r="D405" t="s">
        <v>893</v>
      </c>
    </row>
    <row r="406" spans="1:4">
      <c r="A406" t="s">
        <v>893</v>
      </c>
      <c r="B406" t="s">
        <v>916</v>
      </c>
      <c r="C406">
        <v>1584050101</v>
      </c>
      <c r="D406" t="s">
        <v>893</v>
      </c>
    </row>
    <row r="407" spans="1:4">
      <c r="A407" t="s">
        <v>893</v>
      </c>
      <c r="B407" t="s">
        <v>917</v>
      </c>
      <c r="C407">
        <v>1520050105</v>
      </c>
      <c r="D407" t="s">
        <v>893</v>
      </c>
    </row>
    <row r="408" spans="1:4">
      <c r="A408" t="s">
        <v>893</v>
      </c>
      <c r="B408" t="s">
        <v>918</v>
      </c>
      <c r="C408">
        <v>1556050101</v>
      </c>
      <c r="D408" t="s">
        <v>893</v>
      </c>
    </row>
    <row r="409" spans="1:4">
      <c r="A409" t="s">
        <v>893</v>
      </c>
      <c r="B409" t="s">
        <v>919</v>
      </c>
      <c r="C409">
        <v>1532200101</v>
      </c>
      <c r="D409" t="s">
        <v>893</v>
      </c>
    </row>
    <row r="410" spans="1:4">
      <c r="A410" t="s">
        <v>893</v>
      </c>
      <c r="B410" t="s">
        <v>920</v>
      </c>
      <c r="C410">
        <v>1805959504</v>
      </c>
      <c r="D410" t="s">
        <v>893</v>
      </c>
    </row>
    <row r="411" spans="1:4">
      <c r="A411" t="s">
        <v>893</v>
      </c>
      <c r="B411" t="s">
        <v>921</v>
      </c>
      <c r="C411">
        <v>1532150101</v>
      </c>
      <c r="D411" t="s">
        <v>893</v>
      </c>
    </row>
    <row r="412" spans="1:4">
      <c r="A412" t="s">
        <v>893</v>
      </c>
      <c r="B412" t="s">
        <v>922</v>
      </c>
      <c r="C412">
        <v>1528250101</v>
      </c>
      <c r="D412" t="s">
        <v>893</v>
      </c>
    </row>
    <row r="413" spans="1:4">
      <c r="A413" t="s">
        <v>893</v>
      </c>
      <c r="B413" t="s">
        <v>923</v>
      </c>
      <c r="C413">
        <v>1520050101</v>
      </c>
      <c r="D413" t="s">
        <v>893</v>
      </c>
    </row>
    <row r="414" spans="1:4">
      <c r="A414" t="s">
        <v>893</v>
      </c>
      <c r="B414" t="s">
        <v>924</v>
      </c>
      <c r="C414">
        <v>1532050101</v>
      </c>
      <c r="D414" t="s">
        <v>893</v>
      </c>
    </row>
    <row r="415" spans="1:4">
      <c r="A415" t="s">
        <v>893</v>
      </c>
      <c r="B415" t="s">
        <v>925</v>
      </c>
      <c r="C415">
        <v>1805050102</v>
      </c>
      <c r="D415" t="s">
        <v>893</v>
      </c>
    </row>
    <row r="416" spans="1:4">
      <c r="A416" t="s">
        <v>893</v>
      </c>
      <c r="B416" t="s">
        <v>926</v>
      </c>
      <c r="C416">
        <v>1524050101</v>
      </c>
      <c r="D416" t="s">
        <v>893</v>
      </c>
    </row>
    <row r="417" spans="1:4">
      <c r="A417" t="s">
        <v>893</v>
      </c>
      <c r="B417" t="s">
        <v>927</v>
      </c>
      <c r="C417">
        <v>1805050103</v>
      </c>
      <c r="D417" t="s">
        <v>893</v>
      </c>
    </row>
    <row r="418" spans="1:4">
      <c r="A418" t="s">
        <v>893</v>
      </c>
      <c r="B418" t="s">
        <v>928</v>
      </c>
      <c r="C418">
        <v>1532100101</v>
      </c>
      <c r="D418" t="s">
        <v>893</v>
      </c>
    </row>
    <row r="419" spans="1:4">
      <c r="A419" t="s">
        <v>893</v>
      </c>
      <c r="B419" t="s">
        <v>929</v>
      </c>
      <c r="C419">
        <v>1516100101</v>
      </c>
      <c r="D419" t="s">
        <v>893</v>
      </c>
    </row>
    <row r="420" spans="1:4">
      <c r="A420" t="s">
        <v>893</v>
      </c>
      <c r="B420" t="s">
        <v>930</v>
      </c>
      <c r="C420">
        <v>1524959595</v>
      </c>
      <c r="D420" t="s">
        <v>893</v>
      </c>
    </row>
    <row r="421" spans="1:4">
      <c r="A421" t="s">
        <v>893</v>
      </c>
      <c r="B421" t="s">
        <v>930</v>
      </c>
      <c r="C421">
        <v>1528959595</v>
      </c>
      <c r="D421" t="s">
        <v>893</v>
      </c>
    </row>
    <row r="422" spans="1:4">
      <c r="A422" t="s">
        <v>893</v>
      </c>
      <c r="B422" t="s">
        <v>930</v>
      </c>
      <c r="C422">
        <v>1532959595</v>
      </c>
      <c r="D422" t="s">
        <v>893</v>
      </c>
    </row>
    <row r="423" spans="1:4">
      <c r="A423" t="s">
        <v>893</v>
      </c>
      <c r="B423" t="s">
        <v>930</v>
      </c>
      <c r="C423">
        <v>1556959595</v>
      </c>
      <c r="D423" t="s">
        <v>893</v>
      </c>
    </row>
    <row r="424" spans="1:4">
      <c r="A424" t="s">
        <v>893</v>
      </c>
      <c r="B424" t="s">
        <v>931</v>
      </c>
      <c r="C424">
        <v>1805959595</v>
      </c>
      <c r="D424" t="s">
        <v>893</v>
      </c>
    </row>
    <row r="425" spans="1:4">
      <c r="A425" t="s">
        <v>893</v>
      </c>
      <c r="B425" t="s">
        <v>932</v>
      </c>
      <c r="C425">
        <v>1556280101</v>
      </c>
      <c r="D425" t="s">
        <v>893</v>
      </c>
    </row>
    <row r="426" spans="1:4">
      <c r="A426" t="s">
        <v>893</v>
      </c>
      <c r="B426" t="s">
        <v>933</v>
      </c>
      <c r="C426">
        <v>1556150101</v>
      </c>
      <c r="D426" t="s">
        <v>893</v>
      </c>
    </row>
    <row r="427" spans="1:4">
      <c r="A427" t="s">
        <v>893</v>
      </c>
      <c r="B427" t="s">
        <v>934</v>
      </c>
      <c r="C427">
        <v>1556300101</v>
      </c>
      <c r="D427" t="s">
        <v>893</v>
      </c>
    </row>
    <row r="428" spans="1:4">
      <c r="A428" t="s">
        <v>893</v>
      </c>
      <c r="B428" t="s">
        <v>935</v>
      </c>
      <c r="C428">
        <v>1556500101</v>
      </c>
      <c r="D428" t="s">
        <v>893</v>
      </c>
    </row>
    <row r="429" spans="1:4">
      <c r="A429" t="s">
        <v>893</v>
      </c>
      <c r="B429" t="s">
        <v>936</v>
      </c>
      <c r="C429">
        <v>1504100101</v>
      </c>
      <c r="D429" t="s">
        <v>893</v>
      </c>
    </row>
    <row r="430" spans="1:4">
      <c r="A430" t="s">
        <v>893</v>
      </c>
      <c r="B430" t="s">
        <v>937</v>
      </c>
      <c r="C430">
        <v>1504050101</v>
      </c>
      <c r="D430" t="s">
        <v>893</v>
      </c>
    </row>
    <row r="434" spans="1:4">
      <c r="A434" t="s">
        <v>938</v>
      </c>
      <c r="B434" t="s">
        <v>939</v>
      </c>
      <c r="C434">
        <v>6210020502</v>
      </c>
      <c r="D434" t="s">
        <v>938</v>
      </c>
    </row>
    <row r="435" spans="1:4">
      <c r="A435" t="s">
        <v>938</v>
      </c>
      <c r="B435" t="s">
        <v>940</v>
      </c>
      <c r="C435">
        <v>6210022102</v>
      </c>
      <c r="D435" t="s">
        <v>938</v>
      </c>
    </row>
    <row r="436" spans="1:4">
      <c r="A436" t="s">
        <v>938</v>
      </c>
      <c r="B436" t="s">
        <v>941</v>
      </c>
      <c r="C436">
        <v>6210100302</v>
      </c>
      <c r="D436" t="s">
        <v>938</v>
      </c>
    </row>
    <row r="437" spans="1:4">
      <c r="A437" t="s">
        <v>938</v>
      </c>
      <c r="B437" t="s">
        <v>942</v>
      </c>
      <c r="C437">
        <v>6210022101</v>
      </c>
      <c r="D437" t="s">
        <v>938</v>
      </c>
    </row>
    <row r="438" spans="1:4">
      <c r="A438" t="s">
        <v>938</v>
      </c>
      <c r="B438" t="s">
        <v>943</v>
      </c>
      <c r="C438">
        <v>6210021903</v>
      </c>
      <c r="D438" t="s">
        <v>938</v>
      </c>
    </row>
    <row r="439" spans="1:4">
      <c r="A439" t="s">
        <v>938</v>
      </c>
      <c r="B439" t="s">
        <v>944</v>
      </c>
      <c r="C439">
        <v>6210021902</v>
      </c>
      <c r="D439" t="s">
        <v>938</v>
      </c>
    </row>
    <row r="440" spans="1:4">
      <c r="A440" t="s">
        <v>938</v>
      </c>
      <c r="B440" t="s">
        <v>945</v>
      </c>
      <c r="C440">
        <v>6210021102</v>
      </c>
      <c r="D440" t="s">
        <v>938</v>
      </c>
    </row>
    <row r="441" spans="1:4">
      <c r="A441" t="s">
        <v>938</v>
      </c>
      <c r="B441" t="s">
        <v>946</v>
      </c>
      <c r="C441">
        <v>6210021901</v>
      </c>
      <c r="D441" t="s">
        <v>938</v>
      </c>
    </row>
    <row r="442" spans="1:4">
      <c r="A442" t="s">
        <v>938</v>
      </c>
      <c r="B442" t="s">
        <v>947</v>
      </c>
      <c r="C442">
        <v>6210021812</v>
      </c>
      <c r="D442" t="s">
        <v>938</v>
      </c>
    </row>
    <row r="443" spans="1:4">
      <c r="A443" t="s">
        <v>938</v>
      </c>
      <c r="B443" t="s">
        <v>948</v>
      </c>
      <c r="C443">
        <v>6210020504</v>
      </c>
      <c r="D443" t="s">
        <v>938</v>
      </c>
    </row>
    <row r="444" spans="1:4">
      <c r="A444" t="s">
        <v>938</v>
      </c>
      <c r="B444" t="s">
        <v>949</v>
      </c>
      <c r="C444">
        <v>6210021701</v>
      </c>
      <c r="D444" t="s">
        <v>938</v>
      </c>
    </row>
    <row r="445" spans="1:4">
      <c r="A445" t="s">
        <v>938</v>
      </c>
      <c r="B445" t="s">
        <v>950</v>
      </c>
      <c r="C445">
        <v>6210021103</v>
      </c>
      <c r="D445" t="s">
        <v>938</v>
      </c>
    </row>
    <row r="446" spans="1:4">
      <c r="A446" t="s">
        <v>938</v>
      </c>
      <c r="B446" t="s">
        <v>951</v>
      </c>
      <c r="C446">
        <v>6210021813</v>
      </c>
      <c r="D446" t="s">
        <v>938</v>
      </c>
    </row>
    <row r="447" spans="1:4">
      <c r="A447" t="s">
        <v>938</v>
      </c>
      <c r="B447" t="s">
        <v>952</v>
      </c>
      <c r="C447">
        <v>6210021101</v>
      </c>
      <c r="D447" t="s">
        <v>938</v>
      </c>
    </row>
    <row r="448" spans="1:4">
      <c r="A448" t="s">
        <v>938</v>
      </c>
      <c r="B448" t="s">
        <v>953</v>
      </c>
      <c r="C448">
        <v>6210021104</v>
      </c>
      <c r="D448" t="s">
        <v>938</v>
      </c>
    </row>
    <row r="449" spans="1:4">
      <c r="A449" t="s">
        <v>938</v>
      </c>
      <c r="B449" t="s">
        <v>954</v>
      </c>
      <c r="C449">
        <v>6210021811</v>
      </c>
      <c r="D449" t="s">
        <v>938</v>
      </c>
    </row>
    <row r="450" spans="1:4">
      <c r="A450" t="s">
        <v>938</v>
      </c>
      <c r="B450" s="290" t="s">
        <v>1006</v>
      </c>
      <c r="C450" s="355">
        <v>6210110101</v>
      </c>
      <c r="D450" t="s">
        <v>938</v>
      </c>
    </row>
    <row r="453" spans="1:4">
      <c r="A453" t="s">
        <v>955</v>
      </c>
      <c r="B453" t="s">
        <v>956</v>
      </c>
      <c r="C453">
        <v>6209020502</v>
      </c>
      <c r="D453" t="s">
        <v>955</v>
      </c>
    </row>
    <row r="454" spans="1:4">
      <c r="A454" t="s">
        <v>955</v>
      </c>
      <c r="B454" t="s">
        <v>957</v>
      </c>
      <c r="C454">
        <v>6209022102</v>
      </c>
      <c r="D454" t="s">
        <v>955</v>
      </c>
    </row>
    <row r="455" spans="1:4">
      <c r="A455" t="s">
        <v>955</v>
      </c>
      <c r="B455" t="s">
        <v>958</v>
      </c>
      <c r="C455">
        <v>6209100302</v>
      </c>
      <c r="D455" t="s">
        <v>955</v>
      </c>
    </row>
    <row r="456" spans="1:4">
      <c r="A456" t="s">
        <v>955</v>
      </c>
      <c r="B456" t="s">
        <v>959</v>
      </c>
      <c r="C456">
        <v>6209022101</v>
      </c>
      <c r="D456" t="s">
        <v>955</v>
      </c>
    </row>
    <row r="457" spans="1:4">
      <c r="A457" t="s">
        <v>955</v>
      </c>
      <c r="B457" t="s">
        <v>960</v>
      </c>
      <c r="C457">
        <v>6209021903</v>
      </c>
      <c r="D457" t="s">
        <v>955</v>
      </c>
    </row>
    <row r="458" spans="1:4">
      <c r="A458" t="s">
        <v>955</v>
      </c>
      <c r="B458" t="s">
        <v>961</v>
      </c>
      <c r="C458">
        <v>6209021902</v>
      </c>
      <c r="D458" t="s">
        <v>955</v>
      </c>
    </row>
    <row r="459" spans="1:4">
      <c r="A459" t="s">
        <v>955</v>
      </c>
      <c r="B459" t="s">
        <v>962</v>
      </c>
      <c r="C459">
        <v>6209021102</v>
      </c>
      <c r="D459" t="s">
        <v>955</v>
      </c>
    </row>
    <row r="460" spans="1:4">
      <c r="A460" t="s">
        <v>955</v>
      </c>
      <c r="B460" t="s">
        <v>963</v>
      </c>
      <c r="C460">
        <v>6209021901</v>
      </c>
      <c r="D460" t="s">
        <v>955</v>
      </c>
    </row>
    <row r="461" spans="1:4">
      <c r="A461" t="s">
        <v>955</v>
      </c>
      <c r="B461" t="s">
        <v>964</v>
      </c>
      <c r="C461">
        <v>6209021812</v>
      </c>
      <c r="D461" t="s">
        <v>955</v>
      </c>
    </row>
    <row r="462" spans="1:4">
      <c r="A462" t="s">
        <v>955</v>
      </c>
      <c r="B462" t="s">
        <v>965</v>
      </c>
      <c r="C462">
        <v>6209020504</v>
      </c>
      <c r="D462" t="s">
        <v>955</v>
      </c>
    </row>
    <row r="463" spans="1:4">
      <c r="A463" t="s">
        <v>955</v>
      </c>
      <c r="B463" t="s">
        <v>966</v>
      </c>
      <c r="C463">
        <v>6209021701</v>
      </c>
      <c r="D463" t="s">
        <v>955</v>
      </c>
    </row>
    <row r="464" spans="1:4">
      <c r="A464" t="s">
        <v>955</v>
      </c>
      <c r="B464" t="s">
        <v>967</v>
      </c>
      <c r="C464">
        <v>6209021103</v>
      </c>
      <c r="D464" t="s">
        <v>955</v>
      </c>
    </row>
    <row r="465" spans="1:4">
      <c r="A465" t="s">
        <v>955</v>
      </c>
      <c r="B465" t="s">
        <v>968</v>
      </c>
      <c r="C465">
        <v>6209021813</v>
      </c>
      <c r="D465" t="s">
        <v>955</v>
      </c>
    </row>
    <row r="466" spans="1:4">
      <c r="A466" t="s">
        <v>955</v>
      </c>
      <c r="B466" t="s">
        <v>969</v>
      </c>
      <c r="C466">
        <v>6209021101</v>
      </c>
      <c r="D466" t="s">
        <v>955</v>
      </c>
    </row>
    <row r="467" spans="1:4">
      <c r="A467" t="s">
        <v>955</v>
      </c>
      <c r="B467" t="s">
        <v>970</v>
      </c>
      <c r="C467">
        <v>6209021104</v>
      </c>
      <c r="D467" t="s">
        <v>955</v>
      </c>
    </row>
    <row r="468" spans="1:4">
      <c r="A468" t="s">
        <v>955</v>
      </c>
      <c r="B468" t="s">
        <v>971</v>
      </c>
      <c r="C468">
        <v>6209021811</v>
      </c>
      <c r="D468" t="s">
        <v>955</v>
      </c>
    </row>
    <row r="472" spans="1:4">
      <c r="A472" t="s">
        <v>972</v>
      </c>
      <c r="B472" t="s">
        <v>973</v>
      </c>
      <c r="C472">
        <v>6208020502</v>
      </c>
      <c r="D472" t="s">
        <v>972</v>
      </c>
    </row>
    <row r="473" spans="1:4">
      <c r="A473" t="s">
        <v>972</v>
      </c>
      <c r="B473" t="s">
        <v>974</v>
      </c>
      <c r="C473">
        <v>6208022102</v>
      </c>
      <c r="D473" t="s">
        <v>972</v>
      </c>
    </row>
    <row r="474" spans="1:4">
      <c r="A474" t="s">
        <v>972</v>
      </c>
      <c r="B474" t="s">
        <v>975</v>
      </c>
      <c r="C474">
        <v>6208100302</v>
      </c>
      <c r="D474" t="s">
        <v>972</v>
      </c>
    </row>
    <row r="475" spans="1:4">
      <c r="A475" t="s">
        <v>972</v>
      </c>
      <c r="B475" t="s">
        <v>976</v>
      </c>
      <c r="C475">
        <v>6208022101</v>
      </c>
      <c r="D475" t="s">
        <v>972</v>
      </c>
    </row>
    <row r="476" spans="1:4">
      <c r="A476" t="s">
        <v>972</v>
      </c>
      <c r="B476" t="s">
        <v>977</v>
      </c>
      <c r="C476">
        <v>6208021903</v>
      </c>
      <c r="D476" t="s">
        <v>972</v>
      </c>
    </row>
    <row r="477" spans="1:4">
      <c r="A477" t="s">
        <v>972</v>
      </c>
      <c r="B477" t="s">
        <v>978</v>
      </c>
      <c r="C477">
        <v>6208021902</v>
      </c>
      <c r="D477" t="s">
        <v>972</v>
      </c>
    </row>
    <row r="478" spans="1:4">
      <c r="A478" t="s">
        <v>972</v>
      </c>
      <c r="B478" t="s">
        <v>979</v>
      </c>
      <c r="C478">
        <v>6208021102</v>
      </c>
      <c r="D478" t="s">
        <v>972</v>
      </c>
    </row>
    <row r="479" spans="1:4">
      <c r="A479" t="s">
        <v>972</v>
      </c>
      <c r="B479" t="s">
        <v>980</v>
      </c>
      <c r="C479">
        <v>6208021901</v>
      </c>
      <c r="D479" t="s">
        <v>972</v>
      </c>
    </row>
    <row r="480" spans="1:4">
      <c r="A480" t="s">
        <v>972</v>
      </c>
      <c r="B480" t="s">
        <v>981</v>
      </c>
      <c r="C480">
        <v>6208021812</v>
      </c>
      <c r="D480" t="s">
        <v>972</v>
      </c>
    </row>
    <row r="481" spans="1:4">
      <c r="A481" t="s">
        <v>972</v>
      </c>
      <c r="B481" t="s">
        <v>982</v>
      </c>
      <c r="C481">
        <v>6208020504</v>
      </c>
      <c r="D481" t="s">
        <v>972</v>
      </c>
    </row>
    <row r="482" spans="1:4">
      <c r="A482" t="s">
        <v>972</v>
      </c>
      <c r="B482" t="s">
        <v>983</v>
      </c>
      <c r="C482">
        <v>6208021701</v>
      </c>
      <c r="D482" t="s">
        <v>972</v>
      </c>
    </row>
    <row r="483" spans="1:4">
      <c r="A483" t="s">
        <v>972</v>
      </c>
      <c r="B483" t="s">
        <v>984</v>
      </c>
      <c r="C483">
        <v>6208021103</v>
      </c>
      <c r="D483" t="s">
        <v>972</v>
      </c>
    </row>
    <row r="484" spans="1:4">
      <c r="A484" t="s">
        <v>972</v>
      </c>
      <c r="B484" t="s">
        <v>985</v>
      </c>
      <c r="C484">
        <v>6208021813</v>
      </c>
      <c r="D484" t="s">
        <v>972</v>
      </c>
    </row>
    <row r="485" spans="1:4">
      <c r="A485" t="s">
        <v>972</v>
      </c>
      <c r="B485" t="s">
        <v>986</v>
      </c>
      <c r="C485">
        <v>6208021101</v>
      </c>
      <c r="D485" t="s">
        <v>972</v>
      </c>
    </row>
    <row r="486" spans="1:4">
      <c r="A486" t="s">
        <v>972</v>
      </c>
      <c r="B486" t="s">
        <v>987</v>
      </c>
      <c r="C486">
        <v>6208021104</v>
      </c>
      <c r="D486" t="s">
        <v>972</v>
      </c>
    </row>
    <row r="487" spans="1:4">
      <c r="A487" t="s">
        <v>972</v>
      </c>
      <c r="B487" t="s">
        <v>988</v>
      </c>
      <c r="C487">
        <v>6208021811</v>
      </c>
      <c r="D487" t="s">
        <v>972</v>
      </c>
    </row>
    <row r="491" spans="1:4">
      <c r="A491" t="s">
        <v>989</v>
      </c>
      <c r="B491" t="s">
        <v>990</v>
      </c>
      <c r="C491">
        <v>6221020502</v>
      </c>
      <c r="D491" t="s">
        <v>989</v>
      </c>
    </row>
    <row r="492" spans="1:4">
      <c r="A492" t="s">
        <v>989</v>
      </c>
      <c r="B492" t="s">
        <v>991</v>
      </c>
      <c r="C492">
        <v>6221022102</v>
      </c>
      <c r="D492" t="s">
        <v>989</v>
      </c>
    </row>
    <row r="493" spans="1:4">
      <c r="A493" t="s">
        <v>989</v>
      </c>
      <c r="B493" t="s">
        <v>992</v>
      </c>
      <c r="C493">
        <v>6221100302</v>
      </c>
      <c r="D493" t="s">
        <v>989</v>
      </c>
    </row>
    <row r="494" spans="1:4">
      <c r="A494" t="s">
        <v>989</v>
      </c>
      <c r="B494" t="s">
        <v>993</v>
      </c>
      <c r="C494">
        <v>6221022101</v>
      </c>
      <c r="D494" t="s">
        <v>989</v>
      </c>
    </row>
    <row r="495" spans="1:4">
      <c r="A495" t="s">
        <v>989</v>
      </c>
      <c r="B495" t="s">
        <v>994</v>
      </c>
      <c r="C495">
        <v>6221021903</v>
      </c>
      <c r="D495" t="s">
        <v>989</v>
      </c>
    </row>
    <row r="496" spans="1:4">
      <c r="A496" t="s">
        <v>989</v>
      </c>
      <c r="B496" t="s">
        <v>995</v>
      </c>
      <c r="C496">
        <v>6221021902</v>
      </c>
      <c r="D496" t="s">
        <v>989</v>
      </c>
    </row>
    <row r="497" spans="1:4">
      <c r="A497" t="s">
        <v>989</v>
      </c>
      <c r="B497" t="s">
        <v>996</v>
      </c>
      <c r="C497">
        <v>6221021102</v>
      </c>
      <c r="D497" t="s">
        <v>989</v>
      </c>
    </row>
    <row r="498" spans="1:4">
      <c r="A498" t="s">
        <v>989</v>
      </c>
      <c r="B498" t="s">
        <v>997</v>
      </c>
      <c r="C498">
        <v>6221021901</v>
      </c>
      <c r="D498" t="s">
        <v>989</v>
      </c>
    </row>
    <row r="499" spans="1:4">
      <c r="A499" t="s">
        <v>989</v>
      </c>
      <c r="B499" t="s">
        <v>998</v>
      </c>
      <c r="C499">
        <v>6221021812</v>
      </c>
      <c r="D499" t="s">
        <v>989</v>
      </c>
    </row>
    <row r="500" spans="1:4">
      <c r="A500" t="s">
        <v>989</v>
      </c>
      <c r="B500" t="s">
        <v>999</v>
      </c>
      <c r="C500">
        <v>6221020504</v>
      </c>
      <c r="D500" t="s">
        <v>989</v>
      </c>
    </row>
    <row r="501" spans="1:4">
      <c r="A501" t="s">
        <v>989</v>
      </c>
      <c r="B501" t="s">
        <v>1000</v>
      </c>
      <c r="C501">
        <v>6221021701</v>
      </c>
      <c r="D501" t="s">
        <v>989</v>
      </c>
    </row>
    <row r="502" spans="1:4">
      <c r="A502" t="s">
        <v>989</v>
      </c>
      <c r="B502" t="s">
        <v>1001</v>
      </c>
      <c r="C502">
        <v>6221021103</v>
      </c>
      <c r="D502" t="s">
        <v>989</v>
      </c>
    </row>
    <row r="503" spans="1:4">
      <c r="A503" t="s">
        <v>989</v>
      </c>
      <c r="B503" t="s">
        <v>1002</v>
      </c>
      <c r="C503">
        <v>6221021813</v>
      </c>
      <c r="D503" t="s">
        <v>989</v>
      </c>
    </row>
    <row r="504" spans="1:4">
      <c r="A504" t="s">
        <v>989</v>
      </c>
      <c r="B504" t="s">
        <v>1003</v>
      </c>
      <c r="C504">
        <v>6221021101</v>
      </c>
      <c r="D504" t="s">
        <v>989</v>
      </c>
    </row>
    <row r="505" spans="1:4">
      <c r="A505" t="s">
        <v>989</v>
      </c>
      <c r="B505" t="s">
        <v>1004</v>
      </c>
      <c r="C505">
        <v>6221021104</v>
      </c>
      <c r="D505" t="s">
        <v>989</v>
      </c>
    </row>
    <row r="506" spans="1:4">
      <c r="A506" t="s">
        <v>989</v>
      </c>
      <c r="B506" t="s">
        <v>1005</v>
      </c>
      <c r="C506">
        <v>6221021811</v>
      </c>
      <c r="D506" t="s">
        <v>989</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9066A6-CA4A-4DD2-8631-CEF3AE142B3C}">
  <dimension ref="A1:N51"/>
  <sheetViews>
    <sheetView showGridLines="0" topLeftCell="A25" workbookViewId="0">
      <selection activeCell="G32" sqref="G32"/>
    </sheetView>
  </sheetViews>
  <sheetFormatPr baseColWidth="10" defaultRowHeight="15"/>
  <cols>
    <col min="6" max="6" width="15.5703125" customWidth="1"/>
    <col min="7" max="7" width="15.5703125" bestFit="1" customWidth="1"/>
    <col min="8" max="8" width="14.28515625" style="424" customWidth="1"/>
    <col min="11" max="11" width="12.5703125" bestFit="1" customWidth="1"/>
    <col min="12" max="12" width="14.140625" customWidth="1"/>
    <col min="13" max="13" width="14.140625" bestFit="1" customWidth="1"/>
  </cols>
  <sheetData>
    <row r="1" spans="1:14" ht="15.75" thickBot="1"/>
    <row r="2" spans="1:14" ht="39" thickBot="1">
      <c r="A2" s="418" t="s">
        <v>1270</v>
      </c>
      <c r="B2" s="681" t="s">
        <v>624</v>
      </c>
      <c r="C2" s="682"/>
      <c r="D2" s="682"/>
      <c r="E2" s="682"/>
      <c r="F2" s="683"/>
      <c r="G2" s="419" t="s">
        <v>1271</v>
      </c>
      <c r="H2" s="425" t="s">
        <v>1272</v>
      </c>
      <c r="I2" s="420" t="s">
        <v>469</v>
      </c>
      <c r="J2" s="420" t="s">
        <v>1273</v>
      </c>
      <c r="K2" s="419" t="s">
        <v>1274</v>
      </c>
      <c r="L2" s="419" t="s">
        <v>893</v>
      </c>
      <c r="M2" s="420" t="s">
        <v>1275</v>
      </c>
      <c r="N2" s="419" t="s">
        <v>1276</v>
      </c>
    </row>
    <row r="4" spans="1:14">
      <c r="A4" s="421">
        <v>10010101</v>
      </c>
      <c r="B4" s="679" t="s">
        <v>1277</v>
      </c>
      <c r="C4" s="679"/>
      <c r="D4" s="679"/>
      <c r="E4" s="679"/>
      <c r="F4" s="679"/>
      <c r="G4" s="426"/>
      <c r="H4" s="427">
        <f>+SUMIFS('GASTOS MAS INVERSIONES'!$N$14:$N$426,'GASTOS MAS INVERSIONES'!$B$14:$B$426,'Total Presupuesto'!A4,'GASTOS MAS INVERSIONES'!$H$14:$H$426,2)</f>
        <v>9570000</v>
      </c>
      <c r="I4" s="427">
        <f>+SUMIFS('GASTOS MAS INVERSIONES'!$N$14:$N$426,'GASTOS MAS INVERSIONES'!$B$14:$B$426,'Total Presupuesto'!A4,'GASTOS MAS INVERSIONES'!$H$14:$H$426,7)</f>
        <v>0</v>
      </c>
      <c r="J4" s="426"/>
      <c r="K4" s="428">
        <f>+SUM(H4:J4)</f>
        <v>9570000</v>
      </c>
      <c r="L4" s="427">
        <f>+SUMIFS('GASTOS MAS INVERSIONES'!$N$14:$N$426,'GASTOS MAS INVERSIONES'!$B$14:$B$426,'Total Presupuesto'!A4,'GASTOS MAS INVERSIONES'!$H$14:$H$426,3)+SUMIFS('GASTOS MAS INVERSIONES'!$N$14:$N$426,'GASTOS MAS INVERSIONES'!$B$14:$B$426,'Total Presupuesto'!A4,'GASTOS MAS INVERSIONES'!$H$14:$H$426,4)+SUMIFS('GASTOS MAS INVERSIONES'!$N$14:$N$426,'GASTOS MAS INVERSIONES'!$B$14:$B$426,'Total Presupuesto'!A4,'GASTOS MAS INVERSIONES'!$H$14:$H$426,6)</f>
        <v>0</v>
      </c>
      <c r="M4" s="428">
        <f>+K4+L4</f>
        <v>9570000</v>
      </c>
      <c r="N4" s="426"/>
    </row>
    <row r="5" spans="1:14">
      <c r="A5" s="421">
        <v>10010102</v>
      </c>
      <c r="B5" s="679" t="s">
        <v>1278</v>
      </c>
      <c r="C5" s="679"/>
      <c r="D5" s="679"/>
      <c r="E5" s="679"/>
      <c r="F5" s="679"/>
      <c r="G5" s="426"/>
      <c r="H5" s="427">
        <f>+SUMIFS('GASTOS MAS INVERSIONES'!$N$14:$N$426,'GASTOS MAS INVERSIONES'!$B$14:$B$426,'Total Presupuesto'!A5,'GASTOS MAS INVERSIONES'!$H$14:$H$426,2)</f>
        <v>2800000</v>
      </c>
      <c r="I5" s="427">
        <f>+SUMIFS('GASTOS MAS INVERSIONES'!$N$14:$N$426,'GASTOS MAS INVERSIONES'!$B$14:$B$426,'Total Presupuesto'!A5,'GASTOS MAS INVERSIONES'!$H$14:$H$426,7)</f>
        <v>0</v>
      </c>
      <c r="J5" s="426"/>
      <c r="K5" s="428">
        <f t="shared" ref="K5:K34" si="0">+SUM(H5:J5)</f>
        <v>2800000</v>
      </c>
      <c r="L5" s="427">
        <f>+SUMIFS('GASTOS MAS INVERSIONES'!$N$14:$N$426,'GASTOS MAS INVERSIONES'!$B$14:$B$426,'Total Presupuesto'!A5,'GASTOS MAS INVERSIONES'!$H$14:$H$426,3)+SUMIFS('GASTOS MAS INVERSIONES'!$N$14:$N$426,'GASTOS MAS INVERSIONES'!$B$14:$B$426,'Total Presupuesto'!A5,'GASTOS MAS INVERSIONES'!$H$14:$H$426,4)+SUMIFS('GASTOS MAS INVERSIONES'!$N$14:$N$426,'GASTOS MAS INVERSIONES'!$B$14:$B$426,'Total Presupuesto'!A5,'GASTOS MAS INVERSIONES'!$H$14:$H$426,6)</f>
        <v>2310000</v>
      </c>
      <c r="M5" s="428">
        <f t="shared" ref="M5:M34" si="1">+K5+L5</f>
        <v>5110000</v>
      </c>
      <c r="N5" s="426"/>
    </row>
    <row r="6" spans="1:14">
      <c r="A6" s="421">
        <v>10020101</v>
      </c>
      <c r="B6" s="679" t="s">
        <v>1279</v>
      </c>
      <c r="C6" s="679"/>
      <c r="D6" s="679"/>
      <c r="E6" s="679"/>
      <c r="F6" s="679"/>
      <c r="G6" s="426"/>
      <c r="H6" s="427">
        <f>+SUMIFS('GASTOS MAS INVERSIONES'!$N$14:$N$426,'GASTOS MAS INVERSIONES'!$B$14:$B$426,'Total Presupuesto'!A6,'GASTOS MAS INVERSIONES'!$H$14:$H$426,2)</f>
        <v>0</v>
      </c>
      <c r="I6" s="427">
        <f>+SUMIFS('GASTOS MAS INVERSIONES'!$N$14:$N$426,'GASTOS MAS INVERSIONES'!$B$14:$B$426,'Total Presupuesto'!A6,'GASTOS MAS INVERSIONES'!$H$14:$H$426,7)</f>
        <v>0</v>
      </c>
      <c r="J6" s="426"/>
      <c r="K6" s="428">
        <f t="shared" si="0"/>
        <v>0</v>
      </c>
      <c r="L6" s="427">
        <f>+SUMIFS('GASTOS MAS INVERSIONES'!$N$14:$N$426,'GASTOS MAS INVERSIONES'!$B$14:$B$426,'Total Presupuesto'!A6,'GASTOS MAS INVERSIONES'!$H$14:$H$426,3)+SUMIFS('GASTOS MAS INVERSIONES'!$N$14:$N$426,'GASTOS MAS INVERSIONES'!$B$14:$B$426,'Total Presupuesto'!A6,'GASTOS MAS INVERSIONES'!$H$14:$H$426,4)+SUMIFS('GASTOS MAS INVERSIONES'!$N$14:$N$426,'GASTOS MAS INVERSIONES'!$B$14:$B$426,'Total Presupuesto'!A6,'GASTOS MAS INVERSIONES'!$H$14:$H$426,6)</f>
        <v>12000000</v>
      </c>
      <c r="M6" s="428">
        <f t="shared" si="1"/>
        <v>12000000</v>
      </c>
      <c r="N6" s="426"/>
    </row>
    <row r="7" spans="1:14">
      <c r="A7" s="421">
        <v>10020102</v>
      </c>
      <c r="B7" s="679" t="s">
        <v>1280</v>
      </c>
      <c r="C7" s="679"/>
      <c r="D7" s="679"/>
      <c r="E7" s="679"/>
      <c r="F7" s="679"/>
      <c r="G7" s="426"/>
      <c r="H7" s="427">
        <f>+SUMIFS('GASTOS MAS INVERSIONES'!$N$14:$N$426,'GASTOS MAS INVERSIONES'!$B$14:$B$426,'Total Presupuesto'!A7,'GASTOS MAS INVERSIONES'!$H$14:$H$426,2)</f>
        <v>0</v>
      </c>
      <c r="I7" s="427">
        <f>+SUMIFS('GASTOS MAS INVERSIONES'!$N$14:$N$426,'GASTOS MAS INVERSIONES'!$B$14:$B$426,'Total Presupuesto'!A7,'GASTOS MAS INVERSIONES'!$H$14:$H$426,7)</f>
        <v>0</v>
      </c>
      <c r="J7" s="426"/>
      <c r="K7" s="428">
        <f t="shared" si="0"/>
        <v>0</v>
      </c>
      <c r="L7" s="427">
        <f>+SUMIFS('GASTOS MAS INVERSIONES'!$N$14:$N$426,'GASTOS MAS INVERSIONES'!$B$14:$B$426,'Total Presupuesto'!A7,'GASTOS MAS INVERSIONES'!$H$14:$H$426,3)+SUMIFS('GASTOS MAS INVERSIONES'!$N$14:$N$426,'GASTOS MAS INVERSIONES'!$B$14:$B$426,'Total Presupuesto'!A7,'GASTOS MAS INVERSIONES'!$H$14:$H$426,4)+SUMIFS('GASTOS MAS INVERSIONES'!$N$14:$N$426,'GASTOS MAS INVERSIONES'!$B$14:$B$426,'Total Presupuesto'!A7,'GASTOS MAS INVERSIONES'!$H$14:$H$426,6)</f>
        <v>4000000</v>
      </c>
      <c r="M7" s="428">
        <f t="shared" si="1"/>
        <v>4000000</v>
      </c>
      <c r="N7" s="426"/>
    </row>
    <row r="8" spans="1:14">
      <c r="A8" s="421">
        <v>10030101</v>
      </c>
      <c r="B8" s="679" t="s">
        <v>1281</v>
      </c>
      <c r="C8" s="679"/>
      <c r="D8" s="679"/>
      <c r="E8" s="679"/>
      <c r="F8" s="679"/>
      <c r="G8" s="426"/>
      <c r="H8" s="427">
        <f>+SUMIFS('GASTOS MAS INVERSIONES'!$N$14:$N$426,'GASTOS MAS INVERSIONES'!$B$14:$B$426,'Total Presupuesto'!A8,'GASTOS MAS INVERSIONES'!$H$14:$H$426,2)</f>
        <v>0</v>
      </c>
      <c r="I8" s="427">
        <f>+SUMIFS('GASTOS MAS INVERSIONES'!$N$14:$N$426,'GASTOS MAS INVERSIONES'!$B$14:$B$426,'Total Presupuesto'!A8,'GASTOS MAS INVERSIONES'!$H$14:$H$426,7)</f>
        <v>0</v>
      </c>
      <c r="J8" s="426"/>
      <c r="K8" s="428">
        <f t="shared" si="0"/>
        <v>0</v>
      </c>
      <c r="L8" s="427">
        <f>+SUMIFS('GASTOS MAS INVERSIONES'!$N$14:$N$426,'GASTOS MAS INVERSIONES'!$B$14:$B$426,'Total Presupuesto'!A8,'GASTOS MAS INVERSIONES'!$H$14:$H$426,3)+SUMIFS('GASTOS MAS INVERSIONES'!$N$14:$N$426,'GASTOS MAS INVERSIONES'!$B$14:$B$426,'Total Presupuesto'!A8,'GASTOS MAS INVERSIONES'!$H$14:$H$426,4)+SUMIFS('GASTOS MAS INVERSIONES'!$N$14:$N$426,'GASTOS MAS INVERSIONES'!$B$14:$B$426,'Total Presupuesto'!A8,'GASTOS MAS INVERSIONES'!$H$14:$H$426,6)</f>
        <v>0</v>
      </c>
      <c r="M8" s="428">
        <f t="shared" si="1"/>
        <v>0</v>
      </c>
      <c r="N8" s="426"/>
    </row>
    <row r="9" spans="1:14">
      <c r="A9" s="421">
        <v>10030102</v>
      </c>
      <c r="B9" s="679" t="s">
        <v>1282</v>
      </c>
      <c r="C9" s="679"/>
      <c r="D9" s="679"/>
      <c r="E9" s="679"/>
      <c r="F9" s="679"/>
      <c r="G9" s="426"/>
      <c r="H9" s="427">
        <f>+SUMIFS('GASTOS MAS INVERSIONES'!$N$14:$N$426,'GASTOS MAS INVERSIONES'!$B$14:$B$426,'Total Presupuesto'!A9,'GASTOS MAS INVERSIONES'!$H$14:$H$426,2)</f>
        <v>7752000</v>
      </c>
      <c r="I9" s="427">
        <f>+SUMIFS('GASTOS MAS INVERSIONES'!$N$14:$N$426,'GASTOS MAS INVERSIONES'!$B$14:$B$426,'Total Presupuesto'!A9,'GASTOS MAS INVERSIONES'!$H$14:$H$426,7)</f>
        <v>0</v>
      </c>
      <c r="J9" s="426"/>
      <c r="K9" s="428">
        <f t="shared" si="0"/>
        <v>7752000</v>
      </c>
      <c r="L9" s="427">
        <f>+SUMIFS('GASTOS MAS INVERSIONES'!$N$14:$N$426,'GASTOS MAS INVERSIONES'!$B$14:$B$426,'Total Presupuesto'!A9,'GASTOS MAS INVERSIONES'!$H$14:$H$426,3)+SUMIFS('GASTOS MAS INVERSIONES'!$N$14:$N$426,'GASTOS MAS INVERSIONES'!$B$14:$B$426,'Total Presupuesto'!A9,'GASTOS MAS INVERSIONES'!$H$14:$H$426,4)+SUMIFS('GASTOS MAS INVERSIONES'!$N$14:$N$426,'GASTOS MAS INVERSIONES'!$B$14:$B$426,'Total Presupuesto'!A9,'GASTOS MAS INVERSIONES'!$H$14:$H$426,6)</f>
        <v>0</v>
      </c>
      <c r="M9" s="428">
        <f t="shared" si="1"/>
        <v>7752000</v>
      </c>
      <c r="N9" s="426"/>
    </row>
    <row r="10" spans="1:14">
      <c r="A10" s="421">
        <v>10030103</v>
      </c>
      <c r="B10" s="679" t="s">
        <v>1367</v>
      </c>
      <c r="C10" s="679"/>
      <c r="D10" s="679"/>
      <c r="E10" s="679"/>
      <c r="F10" s="679"/>
      <c r="G10" s="426"/>
      <c r="H10" s="427">
        <f>+SUMIFS('GASTOS MAS INVERSIONES'!$N$14:$N$426,'GASTOS MAS INVERSIONES'!$B$14:$B$426,'Total Presupuesto'!A10,'GASTOS MAS INVERSIONES'!$H$14:$H$426,2)</f>
        <v>6080000</v>
      </c>
      <c r="I10" s="427">
        <f>+SUMIFS('GASTOS MAS INVERSIONES'!$N$14:$N$426,'GASTOS MAS INVERSIONES'!$B$14:$B$426,'Total Presupuesto'!A10,'GASTOS MAS INVERSIONES'!$H$14:$H$426,7)</f>
        <v>0</v>
      </c>
      <c r="J10" s="426"/>
      <c r="K10" s="428">
        <f t="shared" ref="K10" si="2">+SUM(H10:J10)</f>
        <v>6080000</v>
      </c>
      <c r="L10" s="427">
        <f>+SUMIFS('GASTOS MAS INVERSIONES'!$N$14:$N$426,'GASTOS MAS INVERSIONES'!$B$14:$B$426,'Total Presupuesto'!A10,'GASTOS MAS INVERSIONES'!$H$14:$H$426,3)+SUMIFS('GASTOS MAS INVERSIONES'!$N$14:$N$426,'GASTOS MAS INVERSIONES'!$B$14:$B$426,'Total Presupuesto'!A10,'GASTOS MAS INVERSIONES'!$H$14:$H$426,4)+SUMIFS('GASTOS MAS INVERSIONES'!$N$14:$N$426,'GASTOS MAS INVERSIONES'!$B$14:$B$426,'Total Presupuesto'!A10,'GASTOS MAS INVERSIONES'!$H$14:$H$426,6)</f>
        <v>0</v>
      </c>
      <c r="M10" s="428">
        <f t="shared" ref="M10" si="3">+K10+L10</f>
        <v>6080000</v>
      </c>
      <c r="N10" s="426"/>
    </row>
    <row r="11" spans="1:14">
      <c r="A11" s="421">
        <v>10040101</v>
      </c>
      <c r="B11" s="679" t="s">
        <v>1283</v>
      </c>
      <c r="C11" s="679"/>
      <c r="D11" s="679"/>
      <c r="E11" s="679"/>
      <c r="F11" s="679"/>
      <c r="G11" s="426"/>
      <c r="H11" s="427">
        <f>+SUMIFS('GASTOS MAS INVERSIONES'!$N$14:$N$426,'GASTOS MAS INVERSIONES'!$B$14:$B$426,'Total Presupuesto'!A11,'GASTOS MAS INVERSIONES'!$H$14:$H$426,2)</f>
        <v>780000</v>
      </c>
      <c r="I11" s="427">
        <f>+SUMIFS('GASTOS MAS INVERSIONES'!$N$14:$N$426,'GASTOS MAS INVERSIONES'!$B$14:$B$426,'Total Presupuesto'!A11,'GASTOS MAS INVERSIONES'!$H$14:$H$426,7)</f>
        <v>0</v>
      </c>
      <c r="J11" s="426"/>
      <c r="K11" s="428">
        <f t="shared" si="0"/>
        <v>780000</v>
      </c>
      <c r="L11" s="427">
        <f>+SUMIFS('GASTOS MAS INVERSIONES'!$N$14:$N$426,'GASTOS MAS INVERSIONES'!$B$14:$B$426,'Total Presupuesto'!A11,'GASTOS MAS INVERSIONES'!$H$14:$H$426,3)+SUMIFS('GASTOS MAS INVERSIONES'!$N$14:$N$426,'GASTOS MAS INVERSIONES'!$B$14:$B$426,'Total Presupuesto'!A11,'GASTOS MAS INVERSIONES'!$H$14:$H$426,4)+SUMIFS('GASTOS MAS INVERSIONES'!$N$14:$N$426,'GASTOS MAS INVERSIONES'!$B$14:$B$426,'Total Presupuesto'!A11,'GASTOS MAS INVERSIONES'!$H$14:$H$426,6)</f>
        <v>0</v>
      </c>
      <c r="M11" s="428">
        <f t="shared" si="1"/>
        <v>780000</v>
      </c>
      <c r="N11" s="426"/>
    </row>
    <row r="12" spans="1:14">
      <c r="A12" s="421">
        <v>10040102</v>
      </c>
      <c r="B12" s="679" t="s">
        <v>1284</v>
      </c>
      <c r="C12" s="679"/>
      <c r="D12" s="679"/>
      <c r="E12" s="679"/>
      <c r="F12" s="679"/>
      <c r="G12" s="426"/>
      <c r="H12" s="427">
        <f>+SUMIFS('GASTOS MAS INVERSIONES'!$N$14:$N$426,'GASTOS MAS INVERSIONES'!$B$14:$B$426,'Total Presupuesto'!A12,'GASTOS MAS INVERSIONES'!$H$14:$H$426,2)</f>
        <v>966000</v>
      </c>
      <c r="I12" s="427">
        <f>+SUMIFS('GASTOS MAS INVERSIONES'!$N$14:$N$426,'GASTOS MAS INVERSIONES'!$B$14:$B$426,'Total Presupuesto'!A12,'GASTOS MAS INVERSIONES'!$H$14:$H$426,7)</f>
        <v>0</v>
      </c>
      <c r="J12" s="426"/>
      <c r="K12" s="428">
        <f t="shared" si="0"/>
        <v>966000</v>
      </c>
      <c r="L12" s="427">
        <f>+SUMIFS('GASTOS MAS INVERSIONES'!$N$14:$N$426,'GASTOS MAS INVERSIONES'!$B$14:$B$426,'Total Presupuesto'!A12,'GASTOS MAS INVERSIONES'!$H$14:$H$426,3)+SUMIFS('GASTOS MAS INVERSIONES'!$N$14:$N$426,'GASTOS MAS INVERSIONES'!$B$14:$B$426,'Total Presupuesto'!A12,'GASTOS MAS INVERSIONES'!$H$14:$H$426,4)+SUMIFS('GASTOS MAS INVERSIONES'!$N$14:$N$426,'GASTOS MAS INVERSIONES'!$B$14:$B$426,'Total Presupuesto'!A12,'GASTOS MAS INVERSIONES'!$H$14:$H$426,6)</f>
        <v>0</v>
      </c>
      <c r="M12" s="428">
        <f t="shared" si="1"/>
        <v>966000</v>
      </c>
      <c r="N12" s="426"/>
    </row>
    <row r="13" spans="1:14">
      <c r="A13" s="421">
        <v>10040103</v>
      </c>
      <c r="B13" s="679" t="s">
        <v>1285</v>
      </c>
      <c r="C13" s="679"/>
      <c r="D13" s="679"/>
      <c r="E13" s="679"/>
      <c r="F13" s="679"/>
      <c r="G13" s="426"/>
      <c r="H13" s="427">
        <f>+SUMIFS('GASTOS MAS INVERSIONES'!$N$14:$N$426,'GASTOS MAS INVERSIONES'!$B$14:$B$426,'Total Presupuesto'!A13,'GASTOS MAS INVERSIONES'!$H$14:$H$426,2)</f>
        <v>0</v>
      </c>
      <c r="I13" s="427">
        <f>+SUMIFS('GASTOS MAS INVERSIONES'!$N$14:$N$426,'GASTOS MAS INVERSIONES'!$B$14:$B$426,'Total Presupuesto'!A13,'GASTOS MAS INVERSIONES'!$H$14:$H$426,7)</f>
        <v>0</v>
      </c>
      <c r="J13" s="426"/>
      <c r="K13" s="428">
        <f t="shared" si="0"/>
        <v>0</v>
      </c>
      <c r="L13" s="427">
        <f>+SUMIFS('GASTOS MAS INVERSIONES'!$N$14:$N$426,'GASTOS MAS INVERSIONES'!$B$14:$B$426,'Total Presupuesto'!A13,'GASTOS MAS INVERSIONES'!$H$14:$H$426,3)+SUMIFS('GASTOS MAS INVERSIONES'!$N$14:$N$426,'GASTOS MAS INVERSIONES'!$B$14:$B$426,'Total Presupuesto'!A13,'GASTOS MAS INVERSIONES'!$H$14:$H$426,4)+SUMIFS('GASTOS MAS INVERSIONES'!$N$14:$N$426,'GASTOS MAS INVERSIONES'!$B$14:$B$426,'Total Presupuesto'!A13,'GASTOS MAS INVERSIONES'!$H$14:$H$426,6)</f>
        <v>0</v>
      </c>
      <c r="M13" s="428">
        <f t="shared" si="1"/>
        <v>0</v>
      </c>
      <c r="N13" s="426"/>
    </row>
    <row r="14" spans="1:14">
      <c r="A14" s="421">
        <v>10040104</v>
      </c>
      <c r="B14" s="679" t="s">
        <v>1286</v>
      </c>
      <c r="C14" s="679"/>
      <c r="D14" s="679"/>
      <c r="E14" s="679"/>
      <c r="F14" s="679"/>
      <c r="G14" s="426"/>
      <c r="H14" s="427">
        <f>+SUMIFS('GASTOS MAS INVERSIONES'!$N$14:$N$426,'GASTOS MAS INVERSIONES'!$B$14:$B$426,'Total Presupuesto'!A14,'GASTOS MAS INVERSIONES'!$H$14:$H$426,2)</f>
        <v>0</v>
      </c>
      <c r="I14" s="427">
        <f>+SUMIFS('GASTOS MAS INVERSIONES'!$N$14:$N$426,'GASTOS MAS INVERSIONES'!$B$14:$B$426,'Total Presupuesto'!A14,'GASTOS MAS INVERSIONES'!$H$14:$H$426,7)</f>
        <v>0</v>
      </c>
      <c r="J14" s="426"/>
      <c r="K14" s="428">
        <f t="shared" si="0"/>
        <v>0</v>
      </c>
      <c r="L14" s="427">
        <f>+SUMIFS('GASTOS MAS INVERSIONES'!$N$14:$N$426,'GASTOS MAS INVERSIONES'!$B$14:$B$426,'Total Presupuesto'!A14,'GASTOS MAS INVERSIONES'!$H$14:$H$426,3)+SUMIFS('GASTOS MAS INVERSIONES'!$N$14:$N$426,'GASTOS MAS INVERSIONES'!$B$14:$B$426,'Total Presupuesto'!A14,'GASTOS MAS INVERSIONES'!$H$14:$H$426,4)+SUMIFS('GASTOS MAS INVERSIONES'!$N$14:$N$426,'GASTOS MAS INVERSIONES'!$B$14:$B$426,'Total Presupuesto'!A14,'GASTOS MAS INVERSIONES'!$H$14:$H$426,6)</f>
        <v>22313000</v>
      </c>
      <c r="M14" s="428">
        <f t="shared" si="1"/>
        <v>22313000</v>
      </c>
      <c r="N14" s="426"/>
    </row>
    <row r="15" spans="1:14">
      <c r="A15" s="421">
        <v>10050101</v>
      </c>
      <c r="B15" s="679" t="s">
        <v>1287</v>
      </c>
      <c r="C15" s="679"/>
      <c r="D15" s="679"/>
      <c r="E15" s="679"/>
      <c r="F15" s="679"/>
      <c r="G15" s="426"/>
      <c r="H15" s="427">
        <f>+SUMIFS('GASTOS MAS INVERSIONES'!$N$14:$N$426,'GASTOS MAS INVERSIONES'!$B$14:$B$426,'Total Presupuesto'!A15,'GASTOS MAS INVERSIONES'!$H$14:$H$426,5)</f>
        <v>26496000</v>
      </c>
      <c r="I15" s="427">
        <f>+SUMIFS('GASTOS MAS INVERSIONES'!$N$14:$N$426,'GASTOS MAS INVERSIONES'!$B$14:$B$426,'Total Presupuesto'!A15,'GASTOS MAS INVERSIONES'!$H$14:$H$426,7)</f>
        <v>0</v>
      </c>
      <c r="J15" s="426"/>
      <c r="K15" s="428">
        <f t="shared" si="0"/>
        <v>26496000</v>
      </c>
      <c r="L15" s="427">
        <f>+SUMIFS('GASTOS MAS INVERSIONES'!$N$14:$N$426,'GASTOS MAS INVERSIONES'!$B$14:$B$426,'Total Presupuesto'!A15,'GASTOS MAS INVERSIONES'!$H$14:$H$426,3)+SUMIFS('GASTOS MAS INVERSIONES'!$N$14:$N$426,'GASTOS MAS INVERSIONES'!$B$14:$B$426,'Total Presupuesto'!A15,'GASTOS MAS INVERSIONES'!$H$14:$H$426,4)+SUMIFS('GASTOS MAS INVERSIONES'!$N$14:$N$426,'GASTOS MAS INVERSIONES'!$B$14:$B$426,'Total Presupuesto'!A15,'GASTOS MAS INVERSIONES'!$H$14:$H$426,6)</f>
        <v>11937000</v>
      </c>
      <c r="M15" s="428">
        <f t="shared" si="1"/>
        <v>38433000</v>
      </c>
      <c r="N15" s="426"/>
    </row>
    <row r="16" spans="1:14">
      <c r="A16" s="421">
        <v>10050102</v>
      </c>
      <c r="B16" s="679" t="s">
        <v>1288</v>
      </c>
      <c r="C16" s="679"/>
      <c r="D16" s="679"/>
      <c r="E16" s="679"/>
      <c r="F16" s="679"/>
      <c r="G16" s="426"/>
      <c r="H16" s="427">
        <f>+SUMIFS('GASTOS MAS INVERSIONES'!$N$14:$N$426,'GASTOS MAS INVERSIONES'!$B$14:$B$426,'Total Presupuesto'!A16,'GASTOS MAS INVERSIONES'!$H$14:$H$426,5)</f>
        <v>5600000</v>
      </c>
      <c r="I16" s="427">
        <f>+SUMIFS('GASTOS MAS INVERSIONES'!$N$14:$N$426,'GASTOS MAS INVERSIONES'!$B$14:$B$426,'Total Presupuesto'!A16,'GASTOS MAS INVERSIONES'!$H$14:$H$426,7)</f>
        <v>0</v>
      </c>
      <c r="J16" s="426"/>
      <c r="K16" s="428">
        <f t="shared" si="0"/>
        <v>5600000</v>
      </c>
      <c r="L16" s="427">
        <f>+SUMIFS('GASTOS MAS INVERSIONES'!$N$14:$N$426,'GASTOS MAS INVERSIONES'!$B$14:$B$426,'Total Presupuesto'!A16,'GASTOS MAS INVERSIONES'!$H$14:$H$426,3)+SUMIFS('GASTOS MAS INVERSIONES'!$N$14:$N$426,'GASTOS MAS INVERSIONES'!$B$14:$B$426,'Total Presupuesto'!A16,'GASTOS MAS INVERSIONES'!$H$14:$H$426,4)+SUMIFS('GASTOS MAS INVERSIONES'!$N$14:$N$426,'GASTOS MAS INVERSIONES'!$B$14:$B$426,'Total Presupuesto'!A16,'GASTOS MAS INVERSIONES'!$H$14:$H$426,6)</f>
        <v>10400000</v>
      </c>
      <c r="M16" s="428">
        <f t="shared" si="1"/>
        <v>16000000</v>
      </c>
      <c r="N16" s="426"/>
    </row>
    <row r="17" spans="1:14">
      <c r="A17" s="421">
        <v>10060101</v>
      </c>
      <c r="B17" s="679" t="s">
        <v>1289</v>
      </c>
      <c r="C17" s="679"/>
      <c r="D17" s="679"/>
      <c r="E17" s="679"/>
      <c r="F17" s="679"/>
      <c r="G17" s="426"/>
      <c r="H17" s="427">
        <f>+SUMIFS('GASTOS MAS INVERSIONES'!$N$14:$N$426,'GASTOS MAS INVERSIONES'!$B$14:$B$426,'Total Presupuesto'!A17,'GASTOS MAS INVERSIONES'!$H$14:$H$426,2)</f>
        <v>0</v>
      </c>
      <c r="I17" s="427">
        <f>+SUMIFS('GASTOS MAS INVERSIONES'!$N$14:$N$426,'GASTOS MAS INVERSIONES'!$B$14:$B$426,'Total Presupuesto'!A17,'GASTOS MAS INVERSIONES'!$H$14:$H$426,7)</f>
        <v>0</v>
      </c>
      <c r="J17" s="426"/>
      <c r="K17" s="428">
        <f t="shared" si="0"/>
        <v>0</v>
      </c>
      <c r="L17" s="427">
        <f>+SUMIFS('GASTOS MAS INVERSIONES'!$N$14:$N$426,'GASTOS MAS INVERSIONES'!$B$14:$B$426,'Total Presupuesto'!A17,'GASTOS MAS INVERSIONES'!$H$14:$H$426,3)+SUMIFS('GASTOS MAS INVERSIONES'!$N$14:$N$426,'GASTOS MAS INVERSIONES'!$B$14:$B$426,'Total Presupuesto'!A17,'GASTOS MAS INVERSIONES'!$H$14:$H$426,4)+SUMIFS('GASTOS MAS INVERSIONES'!$N$14:$N$426,'GASTOS MAS INVERSIONES'!$B$14:$B$426,'Total Presupuesto'!A17,'GASTOS MAS INVERSIONES'!$H$14:$H$426,6)</f>
        <v>0</v>
      </c>
      <c r="M17" s="428">
        <f t="shared" si="1"/>
        <v>0</v>
      </c>
      <c r="N17" s="426"/>
    </row>
    <row r="18" spans="1:14">
      <c r="A18" s="421">
        <v>10070101</v>
      </c>
      <c r="B18" s="679" t="s">
        <v>1290</v>
      </c>
      <c r="C18" s="679"/>
      <c r="D18" s="679"/>
      <c r="E18" s="679"/>
      <c r="F18" s="679"/>
      <c r="G18" s="426"/>
      <c r="H18" s="427">
        <f>+SUMIFS('GASTOS MAS INVERSIONES'!$N$14:$N$426,'GASTOS MAS INVERSIONES'!$B$14:$B$426,'Total Presupuesto'!A18,'GASTOS MAS INVERSIONES'!$H$14:$H$426,2)</f>
        <v>1392000</v>
      </c>
      <c r="I18" s="427">
        <f>+SUMIFS('GASTOS MAS INVERSIONES'!$N$14:$N$426,'GASTOS MAS INVERSIONES'!$B$14:$B$426,'Total Presupuesto'!A18,'GASTOS MAS INVERSIONES'!$H$14:$H$426,7)</f>
        <v>0</v>
      </c>
      <c r="J18" s="426"/>
      <c r="K18" s="428">
        <f t="shared" si="0"/>
        <v>1392000</v>
      </c>
      <c r="L18" s="427">
        <f>+SUMIFS('GASTOS MAS INVERSIONES'!$N$14:$N$426,'GASTOS MAS INVERSIONES'!$B$14:$B$426,'Total Presupuesto'!A18,'GASTOS MAS INVERSIONES'!$H$14:$H$426,3)+SUMIFS('GASTOS MAS INVERSIONES'!$N$14:$N$426,'GASTOS MAS INVERSIONES'!$B$14:$B$426,'Total Presupuesto'!A18,'GASTOS MAS INVERSIONES'!$H$14:$H$426,4)+SUMIFS('GASTOS MAS INVERSIONES'!$N$14:$N$426,'GASTOS MAS INVERSIONES'!$B$14:$B$426,'Total Presupuesto'!A18,'GASTOS MAS INVERSIONES'!$H$14:$H$426,6)</f>
        <v>0</v>
      </c>
      <c r="M18" s="428">
        <f t="shared" si="1"/>
        <v>1392000</v>
      </c>
      <c r="N18" s="426"/>
    </row>
    <row r="19" spans="1:14">
      <c r="A19" s="421">
        <v>10070102</v>
      </c>
      <c r="B19" s="679" t="s">
        <v>1291</v>
      </c>
      <c r="C19" s="679"/>
      <c r="D19" s="679"/>
      <c r="E19" s="679"/>
      <c r="F19" s="679"/>
      <c r="G19" s="426"/>
      <c r="H19" s="427">
        <f>+SUMIFS('GASTOS MAS INVERSIONES'!$N$14:$N$426,'GASTOS MAS INVERSIONES'!$B$14:$B$426,'Total Presupuesto'!A19,'GASTOS MAS INVERSIONES'!$H$14:$H$426,2)</f>
        <v>0</v>
      </c>
      <c r="I19" s="427">
        <f>+SUMIFS('GASTOS MAS INVERSIONES'!$N$14:$N$426,'GASTOS MAS INVERSIONES'!$B$14:$B$426,'Total Presupuesto'!A19,'GASTOS MAS INVERSIONES'!$H$14:$H$426,7)</f>
        <v>0</v>
      </c>
      <c r="J19" s="426"/>
      <c r="K19" s="428">
        <f t="shared" si="0"/>
        <v>0</v>
      </c>
      <c r="L19" s="427">
        <f>+SUMIFS('GASTOS MAS INVERSIONES'!$N$14:$N$426,'GASTOS MAS INVERSIONES'!$B$14:$B$426,'Total Presupuesto'!A19,'GASTOS MAS INVERSIONES'!$H$14:$H$426,3)+SUMIFS('GASTOS MAS INVERSIONES'!$N$14:$N$426,'GASTOS MAS INVERSIONES'!$B$14:$B$426,'Total Presupuesto'!A19,'GASTOS MAS INVERSIONES'!$H$14:$H$426,4)+SUMIFS('GASTOS MAS INVERSIONES'!$N$14:$N$426,'GASTOS MAS INVERSIONES'!$B$14:$B$426,'Total Presupuesto'!A19,'GASTOS MAS INVERSIONES'!$H$14:$H$426,6)</f>
        <v>0</v>
      </c>
      <c r="M19" s="428">
        <f t="shared" si="1"/>
        <v>0</v>
      </c>
      <c r="N19" s="426"/>
    </row>
    <row r="20" spans="1:14">
      <c r="A20" s="421">
        <v>10070103</v>
      </c>
      <c r="B20" s="679" t="s">
        <v>1292</v>
      </c>
      <c r="C20" s="679"/>
      <c r="D20" s="679"/>
      <c r="E20" s="679"/>
      <c r="F20" s="679"/>
      <c r="G20" s="426"/>
      <c r="H20" s="427">
        <f>+SUMIFS('GASTOS MAS INVERSIONES'!$N$14:$N$426,'GASTOS MAS INVERSIONES'!$B$14:$B$426,'Total Presupuesto'!A20,'GASTOS MAS INVERSIONES'!$H$14:$H$426,2)</f>
        <v>1200000</v>
      </c>
      <c r="I20" s="427">
        <f>+SUMIFS('GASTOS MAS INVERSIONES'!$N$14:$N$426,'GASTOS MAS INVERSIONES'!$B$14:$B$426,'Total Presupuesto'!A20,'GASTOS MAS INVERSIONES'!$H$14:$H$426,7)</f>
        <v>0</v>
      </c>
      <c r="J20" s="426"/>
      <c r="K20" s="428">
        <f t="shared" si="0"/>
        <v>1200000</v>
      </c>
      <c r="L20" s="427">
        <f>+SUMIFS('GASTOS MAS INVERSIONES'!$N$14:$N$426,'GASTOS MAS INVERSIONES'!$B$14:$B$426,'Total Presupuesto'!A20,'GASTOS MAS INVERSIONES'!$H$14:$H$426,3)+SUMIFS('GASTOS MAS INVERSIONES'!$N$14:$N$426,'GASTOS MAS INVERSIONES'!$B$14:$B$426,'Total Presupuesto'!A20,'GASTOS MAS INVERSIONES'!$H$14:$H$426,4)+SUMIFS('GASTOS MAS INVERSIONES'!$N$14:$N$426,'GASTOS MAS INVERSIONES'!$B$14:$B$426,'Total Presupuesto'!A20,'GASTOS MAS INVERSIONES'!$H$14:$H$426,6)</f>
        <v>6200000</v>
      </c>
      <c r="M20" s="428">
        <f t="shared" si="1"/>
        <v>7400000</v>
      </c>
      <c r="N20" s="426"/>
    </row>
    <row r="21" spans="1:14">
      <c r="A21" s="421">
        <v>10080101</v>
      </c>
      <c r="B21" s="679" t="s">
        <v>1293</v>
      </c>
      <c r="C21" s="679"/>
      <c r="D21" s="679"/>
      <c r="E21" s="679"/>
      <c r="F21" s="679"/>
      <c r="G21" s="426"/>
      <c r="H21" s="427">
        <f>+SUMIFS('GASTOS MAS INVERSIONES'!$N$14:$N$426,'GASTOS MAS INVERSIONES'!$B$14:$B$426,'Total Presupuesto'!A21,'GASTOS MAS INVERSIONES'!$H$14:$H$426,2)</f>
        <v>3500000</v>
      </c>
      <c r="I21" s="427">
        <f>+SUMIFS('GASTOS MAS INVERSIONES'!$N$14:$N$426,'GASTOS MAS INVERSIONES'!$B$14:$B$426,'Total Presupuesto'!A21,'GASTOS MAS INVERSIONES'!$H$14:$H$426,7)</f>
        <v>0</v>
      </c>
      <c r="J21" s="426"/>
      <c r="K21" s="428">
        <f t="shared" si="0"/>
        <v>3500000</v>
      </c>
      <c r="L21" s="427">
        <f>+SUMIFS('GASTOS MAS INVERSIONES'!$N$14:$N$426,'GASTOS MAS INVERSIONES'!$B$14:$B$426,'Total Presupuesto'!A21,'GASTOS MAS INVERSIONES'!$H$14:$H$426,3)+SUMIFS('GASTOS MAS INVERSIONES'!$N$14:$N$426,'GASTOS MAS INVERSIONES'!$B$14:$B$426,'Total Presupuesto'!A21,'GASTOS MAS INVERSIONES'!$H$14:$H$426,4)+SUMIFS('GASTOS MAS INVERSIONES'!$N$14:$N$426,'GASTOS MAS INVERSIONES'!$B$14:$B$426,'Total Presupuesto'!A21,'GASTOS MAS INVERSIONES'!$H$14:$H$426,6)</f>
        <v>0</v>
      </c>
      <c r="M21" s="428">
        <f t="shared" si="1"/>
        <v>3500000</v>
      </c>
      <c r="N21" s="426"/>
    </row>
    <row r="22" spans="1:14">
      <c r="A22" s="421">
        <v>10080102</v>
      </c>
      <c r="B22" s="679" t="s">
        <v>1294</v>
      </c>
      <c r="C22" s="679"/>
      <c r="D22" s="679"/>
      <c r="E22" s="679"/>
      <c r="F22" s="679"/>
      <c r="G22" s="426"/>
      <c r="H22" s="427">
        <f>+SUMIFS('GASTOS MAS INVERSIONES'!$N$14:$N$426,'GASTOS MAS INVERSIONES'!$B$14:$B$426,'Total Presupuesto'!A22,'GASTOS MAS INVERSIONES'!$H$14:$H$426,2)</f>
        <v>19400000</v>
      </c>
      <c r="I22" s="427">
        <f>+SUMIFS('GASTOS MAS INVERSIONES'!$N$14:$N$426,'GASTOS MAS INVERSIONES'!$B$14:$B$426,'Total Presupuesto'!A22,'GASTOS MAS INVERSIONES'!$H$14:$H$426,7)</f>
        <v>0</v>
      </c>
      <c r="J22" s="426"/>
      <c r="K22" s="428">
        <f t="shared" si="0"/>
        <v>19400000</v>
      </c>
      <c r="L22" s="427">
        <f>+SUMIFS('GASTOS MAS INVERSIONES'!$N$14:$N$426,'GASTOS MAS INVERSIONES'!$B$14:$B$426,'Total Presupuesto'!A22,'GASTOS MAS INVERSIONES'!$H$14:$H$426,3)+SUMIFS('GASTOS MAS INVERSIONES'!$N$14:$N$426,'GASTOS MAS INVERSIONES'!$B$14:$B$426,'Total Presupuesto'!A22,'GASTOS MAS INVERSIONES'!$H$14:$H$426,4)+SUMIFS('GASTOS MAS INVERSIONES'!$N$14:$N$426,'GASTOS MAS INVERSIONES'!$B$14:$B$426,'Total Presupuesto'!A22,'GASTOS MAS INVERSIONES'!$H$14:$H$426,6)</f>
        <v>1920000</v>
      </c>
      <c r="M22" s="428">
        <f t="shared" si="1"/>
        <v>21320000</v>
      </c>
      <c r="N22" s="426"/>
    </row>
    <row r="23" spans="1:14">
      <c r="A23" s="421">
        <v>10090101</v>
      </c>
      <c r="B23" s="679" t="s">
        <v>1295</v>
      </c>
      <c r="C23" s="679"/>
      <c r="D23" s="679"/>
      <c r="E23" s="679"/>
      <c r="F23" s="679"/>
      <c r="G23" s="426"/>
      <c r="H23" s="427">
        <f>+SUMIFS('GASTOS MAS INVERSIONES'!$N$14:$N$426,'GASTOS MAS INVERSIONES'!$B$14:$B$426,'Total Presupuesto'!A23,'GASTOS MAS INVERSIONES'!$H$14:$H$426,2)</f>
        <v>0</v>
      </c>
      <c r="I23" s="427">
        <f>+SUMIFS('GASTOS MAS INVERSIONES'!$N$14:$N$426,'GASTOS MAS INVERSIONES'!$B$14:$B$426,'Total Presupuesto'!A23,'GASTOS MAS INVERSIONES'!$H$14:$H$426,7)</f>
        <v>0</v>
      </c>
      <c r="J23" s="426"/>
      <c r="K23" s="428">
        <f t="shared" si="0"/>
        <v>0</v>
      </c>
      <c r="L23" s="427">
        <f>+SUMIFS('GASTOS MAS INVERSIONES'!$N$14:$N$426,'GASTOS MAS INVERSIONES'!$B$14:$B$426,'Total Presupuesto'!A23,'GASTOS MAS INVERSIONES'!$H$14:$H$426,3)+SUMIFS('GASTOS MAS INVERSIONES'!$N$14:$N$426,'GASTOS MAS INVERSIONES'!$B$14:$B$426,'Total Presupuesto'!A23,'GASTOS MAS INVERSIONES'!$H$14:$H$426,4)+SUMIFS('GASTOS MAS INVERSIONES'!$N$14:$N$426,'GASTOS MAS INVERSIONES'!$B$14:$B$426,'Total Presupuesto'!A23,'GASTOS MAS INVERSIONES'!$H$14:$H$426,6)</f>
        <v>0</v>
      </c>
      <c r="M23" s="428">
        <f t="shared" si="1"/>
        <v>0</v>
      </c>
      <c r="N23" s="426"/>
    </row>
    <row r="24" spans="1:14">
      <c r="A24" s="421">
        <v>10100101</v>
      </c>
      <c r="B24" s="679" t="s">
        <v>1296</v>
      </c>
      <c r="C24" s="679"/>
      <c r="D24" s="679"/>
      <c r="E24" s="679"/>
      <c r="F24" s="679"/>
      <c r="G24" s="426"/>
      <c r="H24" s="427">
        <f>+SUMIFS('GASTOS MAS INVERSIONES'!$N$14:$N$426,'GASTOS MAS INVERSIONES'!$B$14:$B$426,'Total Presupuesto'!A24,'GASTOS MAS INVERSIONES'!$H$14:$H$426,2)</f>
        <v>0</v>
      </c>
      <c r="I24" s="427">
        <f>+SUMIFS('GASTOS MAS INVERSIONES'!$N$14:$N$426,'GASTOS MAS INVERSIONES'!$B$14:$B$426,'Total Presupuesto'!A24,'GASTOS MAS INVERSIONES'!$H$14:$H$426,7)</f>
        <v>0</v>
      </c>
      <c r="J24" s="426"/>
      <c r="K24" s="428">
        <f t="shared" si="0"/>
        <v>0</v>
      </c>
      <c r="L24" s="427">
        <f>+SUMIFS('GASTOS MAS INVERSIONES'!$N$14:$N$426,'GASTOS MAS INVERSIONES'!$B$14:$B$426,'Total Presupuesto'!A24,'GASTOS MAS INVERSIONES'!$H$14:$H$426,3)+SUMIFS('GASTOS MAS INVERSIONES'!$N$14:$N$426,'GASTOS MAS INVERSIONES'!$B$14:$B$426,'Total Presupuesto'!A24,'GASTOS MAS INVERSIONES'!$H$14:$H$426,4)+SUMIFS('GASTOS MAS INVERSIONES'!$N$14:$N$426,'GASTOS MAS INVERSIONES'!$B$14:$B$426,'Total Presupuesto'!A24,'GASTOS MAS INVERSIONES'!$H$14:$H$426,6)</f>
        <v>0</v>
      </c>
      <c r="M24" s="428">
        <f t="shared" si="1"/>
        <v>0</v>
      </c>
      <c r="N24" s="426"/>
    </row>
    <row r="25" spans="1:14">
      <c r="A25" s="421">
        <v>10110101</v>
      </c>
      <c r="B25" s="679" t="s">
        <v>1297</v>
      </c>
      <c r="C25" s="679"/>
      <c r="D25" s="679"/>
      <c r="E25" s="679"/>
      <c r="F25" s="679"/>
      <c r="G25" s="426"/>
      <c r="H25" s="427">
        <f>+SUMIFS('GASTOS MAS INVERSIONES'!$N$14:$N$426,'GASTOS MAS INVERSIONES'!$B$14:$B$426,'Total Presupuesto'!A25,'GASTOS MAS INVERSIONES'!$H$14:$H$426,2)</f>
        <v>0</v>
      </c>
      <c r="I25" s="427">
        <f>+SUMIFS('GASTOS MAS INVERSIONES'!$N$14:$N$426,'GASTOS MAS INVERSIONES'!$B$14:$B$426,'Total Presupuesto'!A25,'GASTOS MAS INVERSIONES'!$H$14:$H$426,7)</f>
        <v>0</v>
      </c>
      <c r="J25" s="426"/>
      <c r="K25" s="428">
        <f t="shared" si="0"/>
        <v>0</v>
      </c>
      <c r="L25" s="427">
        <f>+SUMIFS('GASTOS MAS INVERSIONES'!$N$14:$N$426,'GASTOS MAS INVERSIONES'!$B$14:$B$426,'Total Presupuesto'!A25,'GASTOS MAS INVERSIONES'!$H$14:$H$426,3)+SUMIFS('GASTOS MAS INVERSIONES'!$N$14:$N$426,'GASTOS MAS INVERSIONES'!$B$14:$B$426,'Total Presupuesto'!A25,'GASTOS MAS INVERSIONES'!$H$14:$H$426,4)+SUMIFS('GASTOS MAS INVERSIONES'!$N$14:$N$426,'GASTOS MAS INVERSIONES'!$B$14:$B$426,'Total Presupuesto'!A25,'GASTOS MAS INVERSIONES'!$H$14:$H$426,6)</f>
        <v>0</v>
      </c>
      <c r="M25" s="428">
        <f t="shared" si="1"/>
        <v>0</v>
      </c>
      <c r="N25" s="426"/>
    </row>
    <row r="26" spans="1:14">
      <c r="A26" s="421">
        <v>10110102</v>
      </c>
      <c r="B26" s="679" t="s">
        <v>1298</v>
      </c>
      <c r="C26" s="679"/>
      <c r="D26" s="679"/>
      <c r="E26" s="679"/>
      <c r="F26" s="679"/>
      <c r="G26" s="426"/>
      <c r="H26" s="427">
        <f>+SUMIFS('GASTOS MAS INVERSIONES'!$N$14:$N$426,'GASTOS MAS INVERSIONES'!$B$14:$B$426,'Total Presupuesto'!A26,'GASTOS MAS INVERSIONES'!$H$14:$H$426,2)</f>
        <v>0</v>
      </c>
      <c r="I26" s="427">
        <f>+SUMIFS('GASTOS MAS INVERSIONES'!$N$14:$N$426,'GASTOS MAS INVERSIONES'!$B$14:$B$426,'Total Presupuesto'!A26,'GASTOS MAS INVERSIONES'!$H$14:$H$426,7)</f>
        <v>0</v>
      </c>
      <c r="J26" s="426"/>
      <c r="K26" s="428">
        <f t="shared" si="0"/>
        <v>0</v>
      </c>
      <c r="L26" s="427">
        <f>+SUMIFS('GASTOS MAS INVERSIONES'!$N$14:$N$426,'GASTOS MAS INVERSIONES'!$B$14:$B$426,'Total Presupuesto'!A26,'GASTOS MAS INVERSIONES'!$H$14:$H$426,3)+SUMIFS('GASTOS MAS INVERSIONES'!$N$14:$N$426,'GASTOS MAS INVERSIONES'!$B$14:$B$426,'Total Presupuesto'!A26,'GASTOS MAS INVERSIONES'!$H$14:$H$426,4)+SUMIFS('GASTOS MAS INVERSIONES'!$N$14:$N$426,'GASTOS MAS INVERSIONES'!$B$14:$B$426,'Total Presupuesto'!A26,'GASTOS MAS INVERSIONES'!$H$14:$H$426,6)</f>
        <v>0</v>
      </c>
      <c r="M26" s="428">
        <f t="shared" si="1"/>
        <v>0</v>
      </c>
      <c r="N26" s="426"/>
    </row>
    <row r="27" spans="1:14">
      <c r="A27" s="421">
        <v>10110103</v>
      </c>
      <c r="B27" s="679" t="s">
        <v>1299</v>
      </c>
      <c r="C27" s="679"/>
      <c r="D27" s="679"/>
      <c r="E27" s="679"/>
      <c r="F27" s="679"/>
      <c r="G27" s="426"/>
      <c r="H27" s="427">
        <f>+SUMIFS('GASTOS MAS INVERSIONES'!$N$14:$N$426,'GASTOS MAS INVERSIONES'!$B$14:$B$426,'Total Presupuesto'!A27,'GASTOS MAS INVERSIONES'!$H$14:$H$426,2)</f>
        <v>0</v>
      </c>
      <c r="I27" s="427">
        <f>+SUMIFS('GASTOS MAS INVERSIONES'!$N$14:$N$426,'GASTOS MAS INVERSIONES'!$B$14:$B$426,'Total Presupuesto'!A27,'GASTOS MAS INVERSIONES'!$H$14:$H$426,7)</f>
        <v>0</v>
      </c>
      <c r="J27" s="426"/>
      <c r="K27" s="428">
        <f t="shared" si="0"/>
        <v>0</v>
      </c>
      <c r="L27" s="427">
        <f>+SUMIFS('GASTOS MAS INVERSIONES'!$N$14:$N$426,'GASTOS MAS INVERSIONES'!$B$14:$B$426,'Total Presupuesto'!A27,'GASTOS MAS INVERSIONES'!$H$14:$H$426,3)+SUMIFS('GASTOS MAS INVERSIONES'!$N$14:$N$426,'GASTOS MAS INVERSIONES'!$B$14:$B$426,'Total Presupuesto'!A27,'GASTOS MAS INVERSIONES'!$H$14:$H$426,4)+SUMIFS('GASTOS MAS INVERSIONES'!$N$14:$N$426,'GASTOS MAS INVERSIONES'!$B$14:$B$426,'Total Presupuesto'!A27,'GASTOS MAS INVERSIONES'!$H$14:$H$426,6)</f>
        <v>0</v>
      </c>
      <c r="M27" s="428">
        <f t="shared" si="1"/>
        <v>0</v>
      </c>
      <c r="N27" s="426"/>
    </row>
    <row r="28" spans="1:14">
      <c r="A28" s="421">
        <v>10120101</v>
      </c>
      <c r="B28" s="679" t="s">
        <v>1300</v>
      </c>
      <c r="C28" s="679"/>
      <c r="D28" s="679"/>
      <c r="E28" s="679"/>
      <c r="F28" s="679"/>
      <c r="G28" s="426"/>
      <c r="H28" s="427">
        <f>+SUMIFS('GASTOS MAS INVERSIONES'!$N$14:$N$426,'GASTOS MAS INVERSIONES'!$B$14:$B$426,'Total Presupuesto'!A28,'GASTOS MAS INVERSIONES'!$H$14:$H$426,2)</f>
        <v>0</v>
      </c>
      <c r="I28" s="427">
        <f>+SUMIFS('GASTOS MAS INVERSIONES'!$N$14:$N$426,'GASTOS MAS INVERSIONES'!$B$14:$B$426,'Total Presupuesto'!A28,'GASTOS MAS INVERSIONES'!$H$14:$H$426,7)</f>
        <v>0</v>
      </c>
      <c r="J28" s="426"/>
      <c r="K28" s="428">
        <f t="shared" si="0"/>
        <v>0</v>
      </c>
      <c r="L28" s="427">
        <f>+SUMIFS('GASTOS MAS INVERSIONES'!$N$14:$N$426,'GASTOS MAS INVERSIONES'!$B$14:$B$426,'Total Presupuesto'!A28,'GASTOS MAS INVERSIONES'!$H$14:$H$426,3)+SUMIFS('GASTOS MAS INVERSIONES'!$N$14:$N$426,'GASTOS MAS INVERSIONES'!$B$14:$B$426,'Total Presupuesto'!A28,'GASTOS MAS INVERSIONES'!$H$14:$H$426,4)+SUMIFS('GASTOS MAS INVERSIONES'!$N$14:$N$426,'GASTOS MAS INVERSIONES'!$B$14:$B$426,'Total Presupuesto'!A28,'GASTOS MAS INVERSIONES'!$H$14:$H$426,6)</f>
        <v>0</v>
      </c>
      <c r="M28" s="428">
        <f t="shared" si="1"/>
        <v>0</v>
      </c>
      <c r="N28" s="426"/>
    </row>
    <row r="29" spans="1:14">
      <c r="A29" s="421">
        <v>10120102</v>
      </c>
      <c r="B29" s="679" t="s">
        <v>1301</v>
      </c>
      <c r="C29" s="679"/>
      <c r="D29" s="679"/>
      <c r="E29" s="679"/>
      <c r="F29" s="679"/>
      <c r="G29" s="426"/>
      <c r="H29" s="427">
        <f>+SUMIFS('GASTOS MAS INVERSIONES'!$N$14:$N$426,'GASTOS MAS INVERSIONES'!$B$14:$B$426,'Total Presupuesto'!A29,'GASTOS MAS INVERSIONES'!$H$14:$H$426,2)</f>
        <v>0</v>
      </c>
      <c r="I29" s="427">
        <f>+SUMIFS('GASTOS MAS INVERSIONES'!$N$14:$N$426,'GASTOS MAS INVERSIONES'!$B$14:$B$426,'Total Presupuesto'!A29,'GASTOS MAS INVERSIONES'!$H$14:$H$426,7)</f>
        <v>0</v>
      </c>
      <c r="J29" s="426"/>
      <c r="K29" s="428">
        <f t="shared" si="0"/>
        <v>0</v>
      </c>
      <c r="L29" s="427">
        <f>+SUMIFS('GASTOS MAS INVERSIONES'!$N$14:$N$426,'GASTOS MAS INVERSIONES'!$B$14:$B$426,'Total Presupuesto'!A29,'GASTOS MAS INVERSIONES'!$H$14:$H$426,3)+SUMIFS('GASTOS MAS INVERSIONES'!$N$14:$N$426,'GASTOS MAS INVERSIONES'!$B$14:$B$426,'Total Presupuesto'!A29,'GASTOS MAS INVERSIONES'!$H$14:$H$426,4)+SUMIFS('GASTOS MAS INVERSIONES'!$N$14:$N$426,'GASTOS MAS INVERSIONES'!$B$14:$B$426,'Total Presupuesto'!A29,'GASTOS MAS INVERSIONES'!$H$14:$H$426,6)</f>
        <v>0</v>
      </c>
      <c r="M29" s="428">
        <f t="shared" si="1"/>
        <v>0</v>
      </c>
      <c r="N29" s="426"/>
    </row>
    <row r="30" spans="1:14">
      <c r="A30" s="421">
        <v>10130101</v>
      </c>
      <c r="B30" s="679" t="s">
        <v>1302</v>
      </c>
      <c r="C30" s="679"/>
      <c r="D30" s="679"/>
      <c r="E30" s="679"/>
      <c r="F30" s="679"/>
      <c r="G30" s="426"/>
      <c r="H30" s="427">
        <f>+SUMIFS('GASTOS MAS INVERSIONES'!$N$14:$N$426,'GASTOS MAS INVERSIONES'!$B$14:$B$426,'Total Presupuesto'!A30,'GASTOS MAS INVERSIONES'!$H$14:$H$426,2)</f>
        <v>0</v>
      </c>
      <c r="I30" s="427">
        <f>+SUMIFS('GASTOS MAS INVERSIONES'!$N$14:$N$426,'GASTOS MAS INVERSIONES'!$B$14:$B$426,'Total Presupuesto'!A30,'GASTOS MAS INVERSIONES'!$H$14:$H$426,7)</f>
        <v>0</v>
      </c>
      <c r="J30" s="426"/>
      <c r="K30" s="428">
        <f t="shared" si="0"/>
        <v>0</v>
      </c>
      <c r="L30" s="427">
        <f>+SUMIFS('GASTOS MAS INVERSIONES'!$N$14:$N$426,'GASTOS MAS INVERSIONES'!$B$14:$B$426,'Total Presupuesto'!A30,'GASTOS MAS INVERSIONES'!$H$14:$H$426,3)+SUMIFS('GASTOS MAS INVERSIONES'!$N$14:$N$426,'GASTOS MAS INVERSIONES'!$B$14:$B$426,'Total Presupuesto'!A30,'GASTOS MAS INVERSIONES'!$H$14:$H$426,4)+SUMIFS('GASTOS MAS INVERSIONES'!$N$14:$N$426,'GASTOS MAS INVERSIONES'!$B$14:$B$426,'Total Presupuesto'!A30,'GASTOS MAS INVERSIONES'!$H$14:$H$426,6)</f>
        <v>0</v>
      </c>
      <c r="M30" s="428">
        <f t="shared" si="1"/>
        <v>0</v>
      </c>
      <c r="N30" s="426"/>
    </row>
    <row r="31" spans="1:14">
      <c r="A31" s="421">
        <v>10130102</v>
      </c>
      <c r="B31" s="679" t="s">
        <v>1303</v>
      </c>
      <c r="C31" s="679"/>
      <c r="D31" s="679"/>
      <c r="E31" s="679"/>
      <c r="F31" s="679"/>
      <c r="G31" s="426"/>
      <c r="H31" s="427">
        <f>+SUMIFS('GASTOS MAS INVERSIONES'!$N$14:$N$426,'GASTOS MAS INVERSIONES'!$B$14:$B$426,'Total Presupuesto'!A31,'GASTOS MAS INVERSIONES'!$H$14:$H$426,2)</f>
        <v>0</v>
      </c>
      <c r="I31" s="427">
        <f>+SUMIFS('GASTOS MAS INVERSIONES'!$N$14:$N$426,'GASTOS MAS INVERSIONES'!$B$14:$B$426,'Total Presupuesto'!A31,'GASTOS MAS INVERSIONES'!$H$14:$H$426,7)</f>
        <v>0</v>
      </c>
      <c r="J31" s="426"/>
      <c r="K31" s="428">
        <f t="shared" si="0"/>
        <v>0</v>
      </c>
      <c r="L31" s="427">
        <f>+SUMIFS('GASTOS MAS INVERSIONES'!$N$14:$N$426,'GASTOS MAS INVERSIONES'!$B$14:$B$426,'Total Presupuesto'!A31,'GASTOS MAS INVERSIONES'!$H$14:$H$426,3)+SUMIFS('GASTOS MAS INVERSIONES'!$N$14:$N$426,'GASTOS MAS INVERSIONES'!$B$14:$B$426,'Total Presupuesto'!A31,'GASTOS MAS INVERSIONES'!$H$14:$H$426,4)+SUMIFS('GASTOS MAS INVERSIONES'!$N$14:$N$426,'GASTOS MAS INVERSIONES'!$B$14:$B$426,'Total Presupuesto'!A31,'GASTOS MAS INVERSIONES'!$H$14:$H$426,6)</f>
        <v>5535000</v>
      </c>
      <c r="M31" s="428">
        <f t="shared" si="1"/>
        <v>5535000</v>
      </c>
      <c r="N31" s="426"/>
    </row>
    <row r="32" spans="1:14">
      <c r="A32" s="421">
        <v>10140101</v>
      </c>
      <c r="B32" s="679" t="s">
        <v>1304</v>
      </c>
      <c r="C32" s="679"/>
      <c r="D32" s="679"/>
      <c r="E32" s="679"/>
      <c r="F32" s="679"/>
      <c r="G32" s="426"/>
      <c r="H32" s="427">
        <f>+SUMIFS('GASTOS MAS INVERSIONES'!$N$14:$N$426,'GASTOS MAS INVERSIONES'!$B$14:$B$426,'Total Presupuesto'!A32,'GASTOS MAS INVERSIONES'!$H$14:$H$426,2)</f>
        <v>21000000</v>
      </c>
      <c r="I32" s="427">
        <f>+SUMIFS('GASTOS MAS INVERSIONES'!$N$14:$N$426,'GASTOS MAS INVERSIONES'!$B$14:$B$426,'Total Presupuesto'!A32,'GASTOS MAS INVERSIONES'!$H$14:$H$426,7)</f>
        <v>0</v>
      </c>
      <c r="J32" s="426"/>
      <c r="K32" s="428">
        <f t="shared" si="0"/>
        <v>21000000</v>
      </c>
      <c r="L32" s="427">
        <f>+SUMIFS('GASTOS MAS INVERSIONES'!$N$14:$N$426,'GASTOS MAS INVERSIONES'!$B$14:$B$426,'Total Presupuesto'!A32,'GASTOS MAS INVERSIONES'!$H$14:$H$426,3)+SUMIFS('GASTOS MAS INVERSIONES'!$N$14:$N$426,'GASTOS MAS INVERSIONES'!$B$14:$B$426,'Total Presupuesto'!A32,'GASTOS MAS INVERSIONES'!$H$14:$H$426,4)+SUMIFS('GASTOS MAS INVERSIONES'!$N$14:$N$426,'GASTOS MAS INVERSIONES'!$B$14:$B$426,'Total Presupuesto'!A32,'GASTOS MAS INVERSIONES'!$H$14:$H$426,6)</f>
        <v>0</v>
      </c>
      <c r="M32" s="428">
        <f t="shared" si="1"/>
        <v>21000000</v>
      </c>
      <c r="N32" s="426"/>
    </row>
    <row r="33" spans="1:14">
      <c r="A33" s="422" t="s">
        <v>145</v>
      </c>
      <c r="B33" s="679" t="s">
        <v>1305</v>
      </c>
      <c r="C33" s="679"/>
      <c r="D33" s="679"/>
      <c r="E33" s="679"/>
      <c r="F33" s="679"/>
      <c r="G33" s="426"/>
      <c r="H33" s="427">
        <f>+SUMIFS('GASTOS MAS INVERSIONES'!$N$14:$N$426,'GASTOS MAS INVERSIONES'!$B$14:$B$426,'Total Presupuesto'!A33,'GASTOS MAS INVERSIONES'!$H$14:$H$426,2)</f>
        <v>134929000</v>
      </c>
      <c r="I33" s="427">
        <f>+SUMIFS('GASTOS MAS INVERSIONES'!$N$14:$N$426,'GASTOS MAS INVERSIONES'!$B$14:$B$426,'Total Presupuesto'!A33,'GASTOS MAS INVERSIONES'!$H$14:$H$426,7)</f>
        <v>0</v>
      </c>
      <c r="J33" s="426"/>
      <c r="K33" s="428">
        <f t="shared" si="0"/>
        <v>134929000</v>
      </c>
      <c r="L33" s="427">
        <f>+SUMIFS('GASTOS MAS INVERSIONES'!$N$14:$N$426,'GASTOS MAS INVERSIONES'!$B$14:$B$426,'Total Presupuesto'!A33,'GASTOS MAS INVERSIONES'!$H$14:$H$426,3)+SUMIFS('GASTOS MAS INVERSIONES'!$N$14:$N$426,'GASTOS MAS INVERSIONES'!$B$14:$B$426,'Total Presupuesto'!A33,'GASTOS MAS INVERSIONES'!$H$14:$H$426,4)+SUMIFS('GASTOS MAS INVERSIONES'!$N$14:$N$426,'GASTOS MAS INVERSIONES'!$B$14:$B$426,'Total Presupuesto'!A33,'GASTOS MAS INVERSIONES'!$H$14:$H$426,6)</f>
        <v>0</v>
      </c>
      <c r="M33" s="428">
        <f t="shared" si="1"/>
        <v>134929000</v>
      </c>
      <c r="N33" s="426"/>
    </row>
    <row r="34" spans="1:14">
      <c r="A34" s="423" t="s">
        <v>146</v>
      </c>
      <c r="B34" s="679" t="s">
        <v>1306</v>
      </c>
      <c r="C34" s="679"/>
      <c r="D34" s="679"/>
      <c r="E34" s="679"/>
      <c r="F34" s="679"/>
      <c r="G34" s="426"/>
      <c r="H34" s="427">
        <f>+SUMIFS('GASTOS MAS INVERSIONES'!$N$14:$N$426,'GASTOS MAS INVERSIONES'!$B$14:$B$426,'Total Presupuesto'!A34,'GASTOS MAS INVERSIONES'!$H$14:$H$426,2)</f>
        <v>0</v>
      </c>
      <c r="I34" s="427">
        <f>+SUMIFS('GASTOS MAS INVERSIONES'!$N$14:$N$426,'GASTOS MAS INVERSIONES'!$B$14:$B$426,'Total Presupuesto'!A34,'GASTOS MAS INVERSIONES'!$H$14:$H$426,7)</f>
        <v>0</v>
      </c>
      <c r="J34" s="426"/>
      <c r="K34" s="428">
        <f t="shared" si="0"/>
        <v>0</v>
      </c>
      <c r="L34" s="427">
        <f>+SUMIFS('GASTOS MAS INVERSIONES'!$N$14:$N$426,'GASTOS MAS INVERSIONES'!$B$14:$B$426,'Total Presupuesto'!A34,'GASTOS MAS INVERSIONES'!$H$14:$H$426,3)+SUMIFS('GASTOS MAS INVERSIONES'!$N$14:$N$426,'GASTOS MAS INVERSIONES'!$B$14:$B$426,'Total Presupuesto'!A34,'GASTOS MAS INVERSIONES'!$H$14:$H$426,4)+SUMIFS('GASTOS MAS INVERSIONES'!$N$14:$N$426,'GASTOS MAS INVERSIONES'!$B$14:$B$426,'Total Presupuesto'!A34,'GASTOS MAS INVERSIONES'!$H$14:$H$426,6)</f>
        <v>0</v>
      </c>
      <c r="M34" s="428">
        <f t="shared" si="1"/>
        <v>0</v>
      </c>
      <c r="N34" s="426"/>
    </row>
    <row r="35" spans="1:14">
      <c r="A35" s="423" t="s">
        <v>160</v>
      </c>
      <c r="B35" s="679" t="s">
        <v>1307</v>
      </c>
      <c r="C35" s="679"/>
      <c r="D35" s="679"/>
      <c r="E35" s="679"/>
      <c r="F35" s="679"/>
      <c r="G35" s="439">
        <f>+INGRESOS!L108</f>
        <v>2185514000</v>
      </c>
      <c r="H35" s="427"/>
      <c r="I35" s="426"/>
      <c r="J35" s="426"/>
      <c r="K35" s="426"/>
      <c r="L35" s="426"/>
      <c r="M35" s="426"/>
      <c r="N35" s="426"/>
    </row>
    <row r="36" spans="1:14">
      <c r="A36" s="423" t="s">
        <v>161</v>
      </c>
      <c r="B36" s="679" t="s">
        <v>1308</v>
      </c>
      <c r="C36" s="679"/>
      <c r="D36" s="679"/>
      <c r="E36" s="679"/>
      <c r="F36" s="679"/>
      <c r="G36" s="426"/>
      <c r="H36" s="427"/>
      <c r="I36" s="426"/>
      <c r="J36" s="426"/>
      <c r="K36" s="426"/>
      <c r="L36" s="426"/>
      <c r="M36" s="426"/>
      <c r="N36" s="426"/>
    </row>
    <row r="37" spans="1:14">
      <c r="A37" s="423" t="s">
        <v>1309</v>
      </c>
      <c r="B37" s="679" t="s">
        <v>1310</v>
      </c>
      <c r="C37" s="679"/>
      <c r="D37" s="679"/>
      <c r="E37" s="679"/>
      <c r="F37" s="679"/>
      <c r="G37" s="426"/>
      <c r="H37" s="427"/>
      <c r="I37" s="426"/>
      <c r="J37" s="426"/>
      <c r="K37" s="426"/>
      <c r="L37" s="426"/>
      <c r="M37" s="426"/>
      <c r="N37" s="426"/>
    </row>
    <row r="38" spans="1:14">
      <c r="A38" s="423" t="s">
        <v>1311</v>
      </c>
      <c r="B38" s="679" t="s">
        <v>1312</v>
      </c>
      <c r="C38" s="679"/>
      <c r="D38" s="679"/>
      <c r="E38" s="679"/>
      <c r="F38" s="679"/>
      <c r="G38" s="426"/>
      <c r="H38" s="427"/>
      <c r="I38" s="426"/>
      <c r="J38" s="426"/>
      <c r="K38" s="426"/>
      <c r="L38" s="426"/>
      <c r="M38" s="426"/>
      <c r="N38" s="426"/>
    </row>
    <row r="39" spans="1:14">
      <c r="A39" s="423" t="s">
        <v>1313</v>
      </c>
      <c r="B39" s="679" t="s">
        <v>1314</v>
      </c>
      <c r="C39" s="679"/>
      <c r="D39" s="679"/>
      <c r="E39" s="679"/>
      <c r="F39" s="679"/>
      <c r="G39" s="426"/>
      <c r="H39" s="427"/>
      <c r="I39" s="426"/>
      <c r="J39" s="426"/>
      <c r="K39" s="426"/>
      <c r="L39" s="426"/>
      <c r="M39" s="426"/>
      <c r="N39" s="426"/>
    </row>
    <row r="40" spans="1:14">
      <c r="A40" s="423" t="s">
        <v>1315</v>
      </c>
      <c r="B40" s="679" t="s">
        <v>1316</v>
      </c>
      <c r="C40" s="679"/>
      <c r="D40" s="679"/>
      <c r="E40" s="679"/>
      <c r="F40" s="679"/>
      <c r="G40" s="426"/>
      <c r="H40" s="427"/>
      <c r="I40" s="426"/>
      <c r="J40" s="426"/>
      <c r="K40" s="426"/>
      <c r="L40" s="426"/>
      <c r="M40" s="426"/>
      <c r="N40" s="426"/>
    </row>
    <row r="42" spans="1:14">
      <c r="A42" s="680" t="s">
        <v>1317</v>
      </c>
      <c r="B42" s="680"/>
      <c r="C42" s="680"/>
      <c r="D42" s="680"/>
      <c r="E42" s="680"/>
      <c r="F42" s="680"/>
      <c r="G42" s="427">
        <f>+SUM(G4:G40)</f>
        <v>2185514000</v>
      </c>
      <c r="H42" s="427">
        <f t="shared" ref="H42:M42" si="4">+SUM(H4:H40)</f>
        <v>241465000</v>
      </c>
      <c r="I42" s="427">
        <f t="shared" si="4"/>
        <v>0</v>
      </c>
      <c r="J42" s="427">
        <f t="shared" si="4"/>
        <v>0</v>
      </c>
      <c r="K42" s="427">
        <f t="shared" si="4"/>
        <v>241465000</v>
      </c>
      <c r="L42" s="427">
        <f t="shared" si="4"/>
        <v>76615000</v>
      </c>
      <c r="M42" s="427">
        <f t="shared" si="4"/>
        <v>318080000</v>
      </c>
      <c r="N42" s="426"/>
    </row>
    <row r="44" spans="1:14" ht="30">
      <c r="F44" s="429"/>
      <c r="G44" s="429"/>
      <c r="H44" s="430" t="s">
        <v>1318</v>
      </c>
      <c r="I44" s="431"/>
      <c r="J44" s="431"/>
      <c r="K44" s="431"/>
      <c r="L44" s="430" t="s">
        <v>1319</v>
      </c>
    </row>
    <row r="45" spans="1:14">
      <c r="A45" t="s">
        <v>619</v>
      </c>
      <c r="E45" s="432">
        <v>0.16</v>
      </c>
      <c r="F45" s="429">
        <f>+$G$42*E45</f>
        <v>349682240</v>
      </c>
      <c r="G45" s="429"/>
      <c r="H45" s="433">
        <f>+F45+F46</f>
        <v>393392520</v>
      </c>
      <c r="J45" s="429"/>
      <c r="K45" s="429"/>
      <c r="L45" s="440">
        <f>+H45-M42</f>
        <v>75312520</v>
      </c>
    </row>
    <row r="46" spans="1:14">
      <c r="A46" t="s">
        <v>1320</v>
      </c>
      <c r="E46" s="432">
        <v>0.02</v>
      </c>
      <c r="F46" s="429">
        <f t="shared" ref="F46:F50" si="5">+$G$42*E46</f>
        <v>43710280</v>
      </c>
      <c r="G46" s="434">
        <f>+M15+M16</f>
        <v>54433000</v>
      </c>
      <c r="H46" s="429"/>
      <c r="I46" s="429"/>
      <c r="J46" s="429"/>
      <c r="K46" s="429"/>
      <c r="L46" s="429"/>
    </row>
    <row r="47" spans="1:14">
      <c r="A47" t="s">
        <v>1321</v>
      </c>
      <c r="E47" s="432">
        <v>0.08</v>
      </c>
      <c r="F47" s="429">
        <f t="shared" si="5"/>
        <v>174841120</v>
      </c>
      <c r="G47" s="429"/>
      <c r="H47" s="429"/>
      <c r="I47" s="429"/>
      <c r="J47" s="429"/>
      <c r="K47" s="429"/>
      <c r="L47" s="429"/>
    </row>
    <row r="48" spans="1:14">
      <c r="A48" t="s">
        <v>1322</v>
      </c>
      <c r="E48" s="432">
        <v>0.62</v>
      </c>
      <c r="F48" s="429">
        <f t="shared" si="5"/>
        <v>1355018680</v>
      </c>
      <c r="G48" s="429"/>
      <c r="H48" s="429"/>
      <c r="I48" s="429"/>
      <c r="J48" s="429"/>
      <c r="K48" s="429"/>
      <c r="L48" s="429"/>
    </row>
    <row r="49" spans="1:12">
      <c r="A49" t="s">
        <v>1323</v>
      </c>
      <c r="E49" s="432">
        <v>0.02</v>
      </c>
      <c r="F49" s="429">
        <f t="shared" si="5"/>
        <v>43710280</v>
      </c>
      <c r="G49" s="429"/>
      <c r="H49" s="429"/>
      <c r="I49" s="429"/>
      <c r="J49" s="429"/>
      <c r="K49" s="429"/>
      <c r="L49" s="429"/>
    </row>
    <row r="50" spans="1:12">
      <c r="A50" t="s">
        <v>1324</v>
      </c>
      <c r="E50" s="432">
        <v>0.1</v>
      </c>
      <c r="F50" s="429">
        <f t="shared" si="5"/>
        <v>218551400</v>
      </c>
      <c r="G50" s="429"/>
      <c r="H50" s="429"/>
      <c r="I50" s="429"/>
      <c r="J50" s="429"/>
      <c r="K50" s="429"/>
      <c r="L50" s="429"/>
    </row>
    <row r="51" spans="1:12">
      <c r="E51" s="432">
        <f>SUM(E45:E50)</f>
        <v>1</v>
      </c>
      <c r="F51" s="429"/>
      <c r="G51" s="429"/>
      <c r="H51" s="429"/>
      <c r="I51" s="429"/>
      <c r="J51" s="429"/>
      <c r="K51" s="429"/>
      <c r="L51" s="429"/>
    </row>
  </sheetData>
  <mergeCells count="39">
    <mergeCell ref="B8:F8"/>
    <mergeCell ref="B2:F2"/>
    <mergeCell ref="B4:F4"/>
    <mergeCell ref="B5:F5"/>
    <mergeCell ref="B6:F6"/>
    <mergeCell ref="B7:F7"/>
    <mergeCell ref="B21:F21"/>
    <mergeCell ref="B9:F9"/>
    <mergeCell ref="B11:F11"/>
    <mergeCell ref="B12:F12"/>
    <mergeCell ref="B13:F13"/>
    <mergeCell ref="B14:F14"/>
    <mergeCell ref="B15:F15"/>
    <mergeCell ref="B16:F16"/>
    <mergeCell ref="B17:F17"/>
    <mergeCell ref="B18:F18"/>
    <mergeCell ref="B19:F19"/>
    <mergeCell ref="B20:F20"/>
    <mergeCell ref="B10:F10"/>
    <mergeCell ref="B33:F33"/>
    <mergeCell ref="B22:F22"/>
    <mergeCell ref="B23:F23"/>
    <mergeCell ref="B24:F24"/>
    <mergeCell ref="B25:F25"/>
    <mergeCell ref="B26:F26"/>
    <mergeCell ref="B27:F27"/>
    <mergeCell ref="B28:F28"/>
    <mergeCell ref="B29:F29"/>
    <mergeCell ref="B30:F30"/>
    <mergeCell ref="B31:F31"/>
    <mergeCell ref="B32:F32"/>
    <mergeCell ref="B40:F40"/>
    <mergeCell ref="A42:F42"/>
    <mergeCell ref="B34:F34"/>
    <mergeCell ref="B35:F35"/>
    <mergeCell ref="B36:F36"/>
    <mergeCell ref="B37:F37"/>
    <mergeCell ref="B38:F38"/>
    <mergeCell ref="B39:F39"/>
  </mergeCells>
  <conditionalFormatting sqref="G46">
    <cfRule type="expression" dxfId="3" priority="3">
      <formula>$G$46&lt;$H$46</formula>
    </cfRule>
    <cfRule type="expression" dxfId="2" priority="4">
      <formula>$G$46&gt;$H$46</formula>
    </cfRule>
  </conditionalFormatting>
  <conditionalFormatting sqref="L45">
    <cfRule type="expression" dxfId="1" priority="1">
      <formula>$M$45&gt;0</formula>
    </cfRule>
    <cfRule type="expression" dxfId="0" priority="2">
      <formula>$M$45&lt;0</formula>
    </cfRule>
  </conditionalFormatting>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F12"/>
  <sheetViews>
    <sheetView showGridLines="0" workbookViewId="0">
      <selection activeCell="B11" sqref="B11"/>
    </sheetView>
  </sheetViews>
  <sheetFormatPr baseColWidth="10" defaultRowHeight="15"/>
  <cols>
    <col min="1" max="1" width="1.140625" customWidth="1"/>
    <col min="2" max="2" width="64.42578125" customWidth="1"/>
    <col min="3" max="3" width="1.5703125" customWidth="1"/>
    <col min="4" max="4" width="5.5703125" customWidth="1"/>
    <col min="5" max="6" width="16" customWidth="1"/>
  </cols>
  <sheetData>
    <row r="1" spans="2:6">
      <c r="B1" s="291" t="s">
        <v>428</v>
      </c>
      <c r="C1" s="291"/>
      <c r="D1" s="295"/>
      <c r="E1" s="295"/>
      <c r="F1" s="295"/>
    </row>
    <row r="2" spans="2:6">
      <c r="B2" s="291" t="s">
        <v>429</v>
      </c>
      <c r="C2" s="291"/>
      <c r="D2" s="295"/>
      <c r="E2" s="295"/>
      <c r="F2" s="295"/>
    </row>
    <row r="3" spans="2:6">
      <c r="B3" s="292"/>
      <c r="C3" s="292"/>
      <c r="D3" s="296"/>
      <c r="E3" s="296"/>
      <c r="F3" s="296"/>
    </row>
    <row r="4" spans="2:6" ht="45">
      <c r="B4" s="292" t="s">
        <v>430</v>
      </c>
      <c r="C4" s="292"/>
      <c r="D4" s="296"/>
      <c r="E4" s="296"/>
      <c r="F4" s="296"/>
    </row>
    <row r="5" spans="2:6">
      <c r="B5" s="292"/>
      <c r="C5" s="292"/>
      <c r="D5" s="296"/>
      <c r="E5" s="296"/>
      <c r="F5" s="296"/>
    </row>
    <row r="6" spans="2:6" ht="30">
      <c r="B6" s="291" t="s">
        <v>431</v>
      </c>
      <c r="C6" s="291"/>
      <c r="D6" s="295"/>
      <c r="E6" s="295" t="s">
        <v>432</v>
      </c>
      <c r="F6" s="295" t="s">
        <v>433</v>
      </c>
    </row>
    <row r="7" spans="2:6" ht="15.75" thickBot="1">
      <c r="B7" s="292"/>
      <c r="C7" s="292"/>
      <c r="D7" s="296"/>
      <c r="E7" s="296"/>
      <c r="F7" s="296"/>
    </row>
    <row r="8" spans="2:6" ht="75.75" thickBot="1">
      <c r="B8" s="293" t="s">
        <v>434</v>
      </c>
      <c r="C8" s="294"/>
      <c r="D8" s="297"/>
      <c r="E8" s="297" t="s">
        <v>436</v>
      </c>
      <c r="F8" s="298" t="s">
        <v>435</v>
      </c>
    </row>
    <row r="9" spans="2:6" ht="15.75" thickBot="1">
      <c r="B9" s="292"/>
      <c r="C9" s="292"/>
      <c r="D9" s="296"/>
      <c r="E9" s="296"/>
      <c r="F9" s="296"/>
    </row>
    <row r="10" spans="2:6" ht="45.75" thickBot="1">
      <c r="B10" s="293" t="s">
        <v>437</v>
      </c>
      <c r="C10" s="294"/>
      <c r="D10" s="297"/>
      <c r="E10" s="297">
        <v>91</v>
      </c>
      <c r="F10" s="298" t="s">
        <v>435</v>
      </c>
    </row>
    <row r="11" spans="2:6">
      <c r="B11" s="292"/>
      <c r="C11" s="292"/>
      <c r="D11" s="296"/>
      <c r="E11" s="296"/>
      <c r="F11" s="296"/>
    </row>
    <row r="12" spans="2:6">
      <c r="B12" s="292"/>
      <c r="C12" s="292"/>
      <c r="D12" s="296"/>
      <c r="E12" s="296"/>
      <c r="F12" s="296"/>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7A7EA283426CA44826B8F5009AE2082" ma:contentTypeVersion="0" ma:contentTypeDescription="Create a new document." ma:contentTypeScope="" ma:versionID="247eab0cd7bfe6ee586462edcbf79268">
  <xsd:schema xmlns:xsd="http://www.w3.org/2001/XMLSchema" xmlns:xs="http://www.w3.org/2001/XMLSchema" xmlns:p="http://schemas.microsoft.com/office/2006/metadata/properties" targetNamespace="http://schemas.microsoft.com/office/2006/metadata/properties" ma:root="true" ma:fieldsID="c64490b4aec6201516c3a874156f37b2">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F341DA4-419E-4B0D-851F-7E97CE2DFDA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667738B1-8D48-4AD3-9343-0AAED0F48EF4}">
  <ds:schemaRefs>
    <ds:schemaRef ds:uri="http://schemas.microsoft.com/office/2006/metadata/properties"/>
    <ds:schemaRef ds:uri="http://www.w3.org/XML/1998/namespace"/>
    <ds:schemaRef ds:uri="http://schemas.microsoft.com/office/2006/documentManagement/types"/>
    <ds:schemaRef ds:uri="http://schemas.openxmlformats.org/package/2006/metadata/core-properties"/>
    <ds:schemaRef ds:uri="http://schemas.microsoft.com/office/infopath/2007/PartnerControls"/>
    <ds:schemaRef ds:uri="http://purl.org/dc/dcmitype/"/>
    <ds:schemaRef ds:uri="http://purl.org/dc/terms/"/>
    <ds:schemaRef ds:uri="http://purl.org/dc/elements/1.1/"/>
  </ds:schemaRefs>
</ds:datastoreItem>
</file>

<file path=customXml/itemProps3.xml><?xml version="1.0" encoding="utf-8"?>
<ds:datastoreItem xmlns:ds="http://schemas.openxmlformats.org/officeDocument/2006/customXml" ds:itemID="{D6838428-A8BF-4950-B8CF-C771CD3BA33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7</vt:i4>
      </vt:variant>
      <vt:variant>
        <vt:lpstr>Rangos con nombre</vt:lpstr>
      </vt:variant>
      <vt:variant>
        <vt:i4>9</vt:i4>
      </vt:variant>
    </vt:vector>
  </HeadingPairs>
  <TitlesOfParts>
    <vt:vector size="16" baseType="lpstr">
      <vt:lpstr>TOTAL</vt:lpstr>
      <vt:lpstr>INGRESOS</vt:lpstr>
      <vt:lpstr>GASTOS MAS INVERSIONES</vt:lpstr>
      <vt:lpstr>Listas</vt:lpstr>
      <vt:lpstr>PUC</vt:lpstr>
      <vt:lpstr>Total Presupuesto</vt:lpstr>
      <vt:lpstr>Informe de compatibilidad</vt:lpstr>
      <vt:lpstr>GtosInves</vt:lpstr>
      <vt:lpstr>GtosNoOper</vt:lpstr>
      <vt:lpstr>GtosPos</vt:lpstr>
      <vt:lpstr>GtosPre</vt:lpstr>
      <vt:lpstr>InverExt</vt:lpstr>
      <vt:lpstr>InverInvest</vt:lpstr>
      <vt:lpstr>InverPos</vt:lpstr>
      <vt:lpstr>InverPre</vt:lpstr>
      <vt:lpstr>Inversiones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Viviana J. Ortegon</dc:creator>
  <cp:lastModifiedBy>Jaime A. Velez M.</cp:lastModifiedBy>
  <cp:lastPrinted>2019-05-24T21:08:40Z</cp:lastPrinted>
  <dcterms:created xsi:type="dcterms:W3CDTF">2017-07-10T19:52:01Z</dcterms:created>
  <dcterms:modified xsi:type="dcterms:W3CDTF">2020-01-28T20:20:52Z</dcterms:modified>
</cp:coreProperties>
</file>