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 ALONSO VELEZ M.000\OneDrive - Universidad Libre\Planes de accion 2020\Posgrados\"/>
    </mc:Choice>
  </mc:AlternateContent>
  <xr:revisionPtr revIDLastSave="0" documentId="13_ncr:1_{35C69D2C-DB5F-4F52-B9D6-12EF35434064}" xr6:coauthVersionLast="45" xr6:coauthVersionMax="45" xr10:uidLastSave="{00000000-0000-0000-0000-000000000000}"/>
  <bookViews>
    <workbookView xWindow="-120" yWindow="-120" windowWidth="20730" windowHeight="11160" tabRatio="936" activeTab="1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Nueva 66" sheetId="13" r:id="rId7"/>
    <sheet name="Nueva 67" sheetId="14" r:id="rId8"/>
    <sheet name="Nueva 68" sheetId="15" r:id="rId9"/>
    <sheet name="Nueva 4" sheetId="16" r:id="rId10"/>
    <sheet name="Continua 63" sheetId="17" r:id="rId11"/>
    <sheet name="Continua 64" sheetId="18" r:id="rId12"/>
    <sheet name="Continua 65" sheetId="19" r:id="rId13"/>
    <sheet name="Continua 4" sheetId="20" r:id="rId14"/>
    <sheet name="Resumen" sheetId="21" r:id="rId15"/>
    <sheet name="Informe de compatibilidad" sheetId="9" state="hidden" r:id="rId16"/>
  </sheets>
  <externalReferences>
    <externalReference r:id="rId17"/>
    <externalReference r:id="rId18"/>
  </externalReferences>
  <definedNames>
    <definedName name="CBWorkbookPriority" hidden="1">-1824697523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" i="15" l="1"/>
  <c r="H6" i="14"/>
  <c r="H6" i="13"/>
  <c r="M43" i="16" l="1"/>
  <c r="M42" i="16"/>
  <c r="M41" i="16"/>
  <c r="L77" i="7" l="1"/>
  <c r="J77" i="7"/>
  <c r="H77" i="7"/>
  <c r="F104" i="4" l="1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E16" i="4" l="1"/>
  <c r="H7" i="15"/>
  <c r="H7" i="14"/>
  <c r="H7" i="13"/>
  <c r="H7" i="19"/>
  <c r="H6" i="19"/>
  <c r="H5" i="19"/>
  <c r="H7" i="18"/>
  <c r="H6" i="18"/>
  <c r="H5" i="18"/>
  <c r="H7" i="17"/>
  <c r="M41" i="20"/>
  <c r="H6" i="17"/>
  <c r="H5" i="17"/>
  <c r="M41" i="13" l="1"/>
  <c r="M42" i="13"/>
  <c r="M43" i="13"/>
  <c r="M43" i="18"/>
  <c r="M42" i="18"/>
  <c r="M41" i="18"/>
  <c r="M43" i="17"/>
  <c r="M41" i="17"/>
  <c r="M42" i="17"/>
  <c r="M43" i="14"/>
  <c r="M42" i="14"/>
  <c r="M41" i="14"/>
  <c r="M42" i="15"/>
  <c r="M43" i="15"/>
  <c r="M41" i="15"/>
  <c r="M42" i="19"/>
  <c r="M43" i="19"/>
  <c r="M41" i="19"/>
  <c r="C27" i="4"/>
  <c r="E27" i="4"/>
  <c r="F27" i="4"/>
  <c r="B27" i="4"/>
  <c r="H69" i="7" l="1"/>
  <c r="L20" i="7"/>
  <c r="J20" i="7"/>
  <c r="H20" i="7"/>
  <c r="N24" i="7"/>
  <c r="L24" i="7"/>
  <c r="J24" i="7"/>
  <c r="H24" i="7"/>
  <c r="J39" i="7"/>
  <c r="H39" i="7"/>
  <c r="L41" i="7"/>
  <c r="J41" i="7"/>
  <c r="H41" i="7"/>
  <c r="L40" i="7"/>
  <c r="J40" i="7"/>
  <c r="H40" i="7"/>
  <c r="L39" i="7"/>
  <c r="L38" i="7"/>
  <c r="J38" i="7"/>
  <c r="H38" i="7"/>
  <c r="L37" i="7"/>
  <c r="J37" i="7"/>
  <c r="H37" i="7"/>
  <c r="J74" i="7"/>
  <c r="H74" i="7"/>
  <c r="J73" i="7"/>
  <c r="H73" i="7"/>
  <c r="J72" i="7"/>
  <c r="H72" i="7"/>
  <c r="H100" i="7"/>
  <c r="H99" i="7"/>
  <c r="H98" i="7"/>
  <c r="H97" i="7"/>
  <c r="H96" i="7"/>
  <c r="L78" i="7"/>
  <c r="J78" i="7"/>
  <c r="H78" i="7"/>
  <c r="J82" i="7"/>
  <c r="J83" i="7"/>
  <c r="J84" i="7"/>
  <c r="J85" i="7"/>
  <c r="J86" i="7"/>
  <c r="J87" i="7"/>
  <c r="J88" i="7"/>
  <c r="J89" i="7"/>
  <c r="J90" i="7"/>
  <c r="J91" i="7"/>
  <c r="J92" i="7"/>
  <c r="H83" i="7"/>
  <c r="H84" i="7"/>
  <c r="H85" i="7"/>
  <c r="H86" i="7"/>
  <c r="H87" i="7"/>
  <c r="H88" i="7"/>
  <c r="H89" i="7"/>
  <c r="H90" i="7"/>
  <c r="H91" i="7"/>
  <c r="H92" i="7"/>
  <c r="AA81" i="7"/>
  <c r="H81" i="7"/>
  <c r="H82" i="7"/>
  <c r="H80" i="7"/>
  <c r="M32" i="20" l="1"/>
  <c r="M32" i="16"/>
  <c r="M18" i="21"/>
  <c r="M19" i="21"/>
  <c r="M20" i="21"/>
  <c r="M21" i="21"/>
  <c r="M22" i="21"/>
  <c r="M25" i="21"/>
  <c r="M26" i="21"/>
  <c r="M30" i="21"/>
  <c r="M31" i="21"/>
  <c r="M37" i="21"/>
  <c r="M39" i="21"/>
  <c r="N59" i="7" s="1"/>
  <c r="H9" i="21"/>
  <c r="M5" i="21"/>
  <c r="M6" i="21" s="1"/>
  <c r="B4" i="21"/>
  <c r="B3" i="21"/>
  <c r="M43" i="20"/>
  <c r="M42" i="20"/>
  <c r="M16" i="20"/>
  <c r="H9" i="20"/>
  <c r="M5" i="20"/>
  <c r="M6" i="20" s="1"/>
  <c r="M40" i="20" s="1"/>
  <c r="B4" i="20"/>
  <c r="B3" i="20"/>
  <c r="M16" i="19"/>
  <c r="H9" i="19"/>
  <c r="M5" i="19"/>
  <c r="M6" i="19" s="1"/>
  <c r="M40" i="19" s="1"/>
  <c r="B4" i="19"/>
  <c r="B3" i="19"/>
  <c r="M16" i="18"/>
  <c r="H9" i="18"/>
  <c r="M5" i="18"/>
  <c r="M6" i="18" s="1"/>
  <c r="M40" i="18" s="1"/>
  <c r="B4" i="18"/>
  <c r="B3" i="18"/>
  <c r="M5" i="17"/>
  <c r="M6" i="17" s="1"/>
  <c r="M40" i="17" s="1"/>
  <c r="M16" i="17"/>
  <c r="H9" i="17"/>
  <c r="B4" i="17"/>
  <c r="M32" i="17" s="1"/>
  <c r="B3" i="17"/>
  <c r="M16" i="16"/>
  <c r="H9" i="16"/>
  <c r="M5" i="16"/>
  <c r="M6" i="16" s="1"/>
  <c r="M40" i="16" s="1"/>
  <c r="M4" i="16"/>
  <c r="B4" i="16"/>
  <c r="B3" i="16"/>
  <c r="M16" i="15"/>
  <c r="H9" i="15"/>
  <c r="M5" i="15"/>
  <c r="M4" i="15"/>
  <c r="M6" i="15" s="1"/>
  <c r="M40" i="15" s="1"/>
  <c r="B4" i="15"/>
  <c r="M32" i="15" s="1"/>
  <c r="B3" i="15"/>
  <c r="M16" i="14"/>
  <c r="H9" i="14"/>
  <c r="M6" i="14"/>
  <c r="M40" i="14" s="1"/>
  <c r="M5" i="14"/>
  <c r="M4" i="14"/>
  <c r="B4" i="14"/>
  <c r="M32" i="14" s="1"/>
  <c r="B3" i="14"/>
  <c r="M38" i="14" s="1"/>
  <c r="M41" i="21"/>
  <c r="N72" i="7" s="1"/>
  <c r="M32" i="19" l="1"/>
  <c r="M32" i="18"/>
  <c r="M27" i="14"/>
  <c r="M35" i="17"/>
  <c r="M36" i="17"/>
  <c r="M33" i="17"/>
  <c r="M34" i="17"/>
  <c r="M33" i="15"/>
  <c r="M34" i="15"/>
  <c r="M35" i="15"/>
  <c r="M36" i="15"/>
  <c r="M33" i="16"/>
  <c r="M36" i="16"/>
  <c r="M34" i="16"/>
  <c r="M35" i="16"/>
  <c r="M34" i="18"/>
  <c r="M35" i="18"/>
  <c r="M36" i="18"/>
  <c r="M33" i="18"/>
  <c r="M27" i="18"/>
  <c r="M24" i="18" s="1"/>
  <c r="M34" i="20"/>
  <c r="M33" i="20"/>
  <c r="M27" i="20"/>
  <c r="M24" i="20" s="1"/>
  <c r="M27" i="16"/>
  <c r="M24" i="16" s="1"/>
  <c r="M33" i="14"/>
  <c r="M34" i="14"/>
  <c r="M35" i="14"/>
  <c r="M36" i="14"/>
  <c r="M33" i="19"/>
  <c r="M34" i="19"/>
  <c r="M35" i="19"/>
  <c r="M36" i="19"/>
  <c r="M27" i="19"/>
  <c r="M43" i="21"/>
  <c r="N73" i="7" s="1"/>
  <c r="M27" i="15"/>
  <c r="M24" i="15" s="1"/>
  <c r="M42" i="21"/>
  <c r="N74" i="7" s="1"/>
  <c r="M17" i="15"/>
  <c r="M44" i="15" s="1"/>
  <c r="M17" i="20"/>
  <c r="M44" i="20" s="1"/>
  <c r="M17" i="18"/>
  <c r="M44" i="18" s="1"/>
  <c r="M10" i="21"/>
  <c r="M23" i="20"/>
  <c r="M36" i="20"/>
  <c r="M10" i="20"/>
  <c r="M35" i="20"/>
  <c r="M38" i="20"/>
  <c r="M23" i="19"/>
  <c r="M24" i="19"/>
  <c r="M17" i="19"/>
  <c r="M44" i="19" s="1"/>
  <c r="M10" i="19"/>
  <c r="M38" i="19"/>
  <c r="M10" i="18"/>
  <c r="M38" i="18"/>
  <c r="M17" i="17"/>
  <c r="M44" i="17" s="1"/>
  <c r="M27" i="17"/>
  <c r="M23" i="17" s="1"/>
  <c r="M10" i="17"/>
  <c r="M38" i="17"/>
  <c r="M38" i="16"/>
  <c r="M17" i="16"/>
  <c r="M44" i="16" s="1"/>
  <c r="M10" i="16"/>
  <c r="M23" i="15"/>
  <c r="M10" i="15"/>
  <c r="M38" i="15"/>
  <c r="M23" i="14"/>
  <c r="M24" i="14"/>
  <c r="M10" i="14"/>
  <c r="M17" i="14"/>
  <c r="M44" i="14" s="1"/>
  <c r="M16" i="13"/>
  <c r="M16" i="21" s="1"/>
  <c r="M4" i="13"/>
  <c r="M5" i="13"/>
  <c r="M23" i="16" l="1"/>
  <c r="M23" i="18"/>
  <c r="M6" i="13"/>
  <c r="M28" i="20"/>
  <c r="M28" i="18"/>
  <c r="M29" i="18"/>
  <c r="M29" i="15"/>
  <c r="M28" i="15"/>
  <c r="M60" i="14"/>
  <c r="M59" i="15"/>
  <c r="M59" i="20"/>
  <c r="M59" i="16"/>
  <c r="M60" i="19"/>
  <c r="M60" i="20"/>
  <c r="M59" i="19"/>
  <c r="M29" i="20"/>
  <c r="M59" i="18"/>
  <c r="M60" i="18"/>
  <c r="M28" i="19"/>
  <c r="M29" i="19"/>
  <c r="M28" i="17"/>
  <c r="M29" i="17"/>
  <c r="M24" i="17"/>
  <c r="M60" i="17" s="1"/>
  <c r="M28" i="16"/>
  <c r="M29" i="16"/>
  <c r="M60" i="16"/>
  <c r="M60" i="15"/>
  <c r="M28" i="14"/>
  <c r="M29" i="14"/>
  <c r="M59" i="14"/>
  <c r="M10" i="13"/>
  <c r="N29" i="20" l="1"/>
  <c r="M40" i="13"/>
  <c r="M40" i="21" s="1"/>
  <c r="N20" i="7" s="1"/>
  <c r="N62" i="20"/>
  <c r="N64" i="20" s="1"/>
  <c r="N29" i="18"/>
  <c r="N29" i="15"/>
  <c r="N29" i="14"/>
  <c r="N62" i="15"/>
  <c r="N29" i="19"/>
  <c r="N62" i="19"/>
  <c r="N62" i="16"/>
  <c r="N62" i="18"/>
  <c r="M59" i="17"/>
  <c r="N62" i="17" s="1"/>
  <c r="N29" i="17"/>
  <c r="N29" i="16"/>
  <c r="N62" i="14"/>
  <c r="N64" i="18" l="1"/>
  <c r="N64" i="17"/>
  <c r="N64" i="15"/>
  <c r="N64" i="16"/>
  <c r="N64" i="14"/>
  <c r="N64" i="19"/>
  <c r="H9" i="13"/>
  <c r="M27" i="13" s="1"/>
  <c r="B4" i="13"/>
  <c r="M32" i="13" s="1"/>
  <c r="M32" i="21" s="1"/>
  <c r="N96" i="7" s="1"/>
  <c r="B3" i="13"/>
  <c r="M33" i="13" l="1"/>
  <c r="M33" i="21" s="1"/>
  <c r="N97" i="7" s="1"/>
  <c r="M36" i="13"/>
  <c r="M36" i="21" s="1"/>
  <c r="N100" i="7" s="1"/>
  <c r="M34" i="13"/>
  <c r="M34" i="21" s="1"/>
  <c r="N98" i="7" s="1"/>
  <c r="M35" i="13"/>
  <c r="M35" i="21" s="1"/>
  <c r="N99" i="7" s="1"/>
  <c r="M38" i="13"/>
  <c r="M38" i="21" s="1"/>
  <c r="N58" i="7" s="1"/>
  <c r="M23" i="13"/>
  <c r="M23" i="21" s="1"/>
  <c r="M27" i="21"/>
  <c r="M17" i="13"/>
  <c r="M44" i="13" s="1"/>
  <c r="M17" i="21" l="1"/>
  <c r="M44" i="21"/>
  <c r="M29" i="13"/>
  <c r="M29" i="21" s="1"/>
  <c r="M28" i="13"/>
  <c r="M28" i="21" s="1"/>
  <c r="M24" i="13"/>
  <c r="N78" i="7" l="1"/>
  <c r="M60" i="13"/>
  <c r="M24" i="21"/>
  <c r="M59" i="13"/>
  <c r="N29" i="13"/>
  <c r="M59" i="21" l="1"/>
  <c r="M60" i="21"/>
  <c r="N80" i="7" s="1"/>
  <c r="N29" i="21"/>
  <c r="N62" i="13"/>
  <c r="N64" i="13" s="1"/>
  <c r="H17" i="4"/>
  <c r="J17" i="4" s="1"/>
  <c r="I17" i="4"/>
  <c r="K17" i="4" s="1"/>
  <c r="I16" i="4"/>
  <c r="K16" i="4" s="1"/>
  <c r="H16" i="4"/>
  <c r="J16" i="4" l="1"/>
  <c r="L16" i="4" s="1"/>
  <c r="D65" i="4"/>
  <c r="E65" i="4" s="1"/>
  <c r="L65" i="4" s="1"/>
  <c r="D62" i="4"/>
  <c r="E62" i="4" s="1"/>
  <c r="L62" i="4" s="1"/>
  <c r="D58" i="4"/>
  <c r="E58" i="4" s="1"/>
  <c r="L58" i="4" s="1"/>
  <c r="E103" i="4"/>
  <c r="F103" i="4" s="1"/>
  <c r="D64" i="4"/>
  <c r="E64" i="4" s="1"/>
  <c r="L64" i="4" s="1"/>
  <c r="D61" i="4"/>
  <c r="E61" i="4" s="1"/>
  <c r="L61" i="4" s="1"/>
  <c r="D57" i="4"/>
  <c r="E57" i="4" s="1"/>
  <c r="L57" i="4" s="1"/>
  <c r="D66" i="4"/>
  <c r="E66" i="4" s="1"/>
  <c r="L66" i="4" s="1"/>
  <c r="D63" i="4"/>
  <c r="E63" i="4" s="1"/>
  <c r="L63" i="4" s="1"/>
  <c r="D60" i="4"/>
  <c r="E60" i="4" s="1"/>
  <c r="L60" i="4" s="1"/>
  <c r="D56" i="4"/>
  <c r="D59" i="4"/>
  <c r="E59" i="4" s="1"/>
  <c r="L59" i="4" s="1"/>
  <c r="L17" i="4"/>
  <c r="N81" i="7"/>
  <c r="G17" i="4"/>
  <c r="G16" i="4"/>
  <c r="D17" i="4"/>
  <c r="D16" i="4"/>
  <c r="G27" i="4" l="1"/>
  <c r="D88" i="4"/>
  <c r="F88" i="4" s="1"/>
  <c r="G76" i="4"/>
  <c r="H76" i="4" s="1"/>
  <c r="L76" i="4" s="1"/>
  <c r="G73" i="4"/>
  <c r="H73" i="4" s="1"/>
  <c r="L73" i="4" s="1"/>
  <c r="G71" i="4"/>
  <c r="H71" i="4" s="1"/>
  <c r="L71" i="4" s="1"/>
  <c r="G75" i="4"/>
  <c r="H75" i="4" s="1"/>
  <c r="L75" i="4" s="1"/>
  <c r="G68" i="4"/>
  <c r="H68" i="4" s="1"/>
  <c r="L68" i="4" s="1"/>
  <c r="E56" i="4"/>
  <c r="L56" i="4" s="1"/>
  <c r="L67" i="4" s="1"/>
  <c r="F22" i="5" s="1"/>
  <c r="G70" i="4"/>
  <c r="H70" i="4" s="1"/>
  <c r="L70" i="4" s="1"/>
  <c r="G72" i="4"/>
  <c r="H72" i="4" s="1"/>
  <c r="L72" i="4" s="1"/>
  <c r="G77" i="4"/>
  <c r="H77" i="4" s="1"/>
  <c r="L77" i="4" s="1"/>
  <c r="G69" i="4"/>
  <c r="H69" i="4" s="1"/>
  <c r="L69" i="4" s="1"/>
  <c r="G74" i="4"/>
  <c r="H74" i="4" s="1"/>
  <c r="L74" i="4" s="1"/>
  <c r="G78" i="4"/>
  <c r="H78" i="4" s="1"/>
  <c r="L78" i="4" s="1"/>
  <c r="D27" i="4"/>
  <c r="E50" i="12"/>
  <c r="J41" i="12"/>
  <c r="B73" i="7"/>
  <c r="B74" i="7"/>
  <c r="B75" i="7"/>
  <c r="B76" i="7"/>
  <c r="B77" i="7"/>
  <c r="B78" i="7"/>
  <c r="B79" i="7"/>
  <c r="B80" i="7"/>
  <c r="B81" i="7"/>
  <c r="B82" i="7"/>
  <c r="B83" i="7"/>
  <c r="B84" i="7"/>
  <c r="B71" i="7"/>
  <c r="H71" i="7"/>
  <c r="J71" i="7"/>
  <c r="L71" i="7"/>
  <c r="B72" i="7"/>
  <c r="L72" i="7"/>
  <c r="L73" i="7"/>
  <c r="L74" i="7"/>
  <c r="H75" i="7"/>
  <c r="J75" i="7"/>
  <c r="L75" i="7"/>
  <c r="H76" i="7"/>
  <c r="J76" i="7"/>
  <c r="L76" i="7"/>
  <c r="H79" i="7"/>
  <c r="J79" i="7"/>
  <c r="L79" i="7"/>
  <c r="J80" i="7"/>
  <c r="L80" i="7"/>
  <c r="J81" i="7"/>
  <c r="L81" i="7"/>
  <c r="L82" i="7"/>
  <c r="L83" i="7"/>
  <c r="L84" i="7"/>
  <c r="B85" i="7"/>
  <c r="L85" i="7"/>
  <c r="B86" i="7"/>
  <c r="L86" i="7"/>
  <c r="B87" i="7"/>
  <c r="L87" i="7"/>
  <c r="B88" i="7"/>
  <c r="L88" i="7"/>
  <c r="B89" i="7"/>
  <c r="L89" i="7"/>
  <c r="B90" i="7"/>
  <c r="L90" i="7"/>
  <c r="B91" i="7"/>
  <c r="L91" i="7"/>
  <c r="B92" i="7"/>
  <c r="L92" i="7"/>
  <c r="B93" i="7"/>
  <c r="H93" i="7"/>
  <c r="J93" i="7"/>
  <c r="L93" i="7"/>
  <c r="B94" i="7"/>
  <c r="H94" i="7"/>
  <c r="J94" i="7"/>
  <c r="L94" i="7"/>
  <c r="B95" i="7"/>
  <c r="H95" i="7"/>
  <c r="J95" i="7"/>
  <c r="L95" i="7"/>
  <c r="B96" i="7"/>
  <c r="L96" i="7"/>
  <c r="B97" i="7"/>
  <c r="L97" i="7"/>
  <c r="B98" i="7"/>
  <c r="L98" i="7"/>
  <c r="B99" i="7"/>
  <c r="L99" i="7"/>
  <c r="B100" i="7"/>
  <c r="L100" i="7"/>
  <c r="B101" i="7"/>
  <c r="H101" i="7"/>
  <c r="J101" i="7"/>
  <c r="L101" i="7"/>
  <c r="B102" i="7"/>
  <c r="H102" i="7"/>
  <c r="J102" i="7"/>
  <c r="L102" i="7"/>
  <c r="B103" i="7"/>
  <c r="H103" i="7"/>
  <c r="J103" i="7"/>
  <c r="L103" i="7"/>
  <c r="B104" i="7"/>
  <c r="H104" i="7"/>
  <c r="J104" i="7"/>
  <c r="L104" i="7"/>
  <c r="L70" i="7"/>
  <c r="B70" i="7"/>
  <c r="L69" i="7"/>
  <c r="J69" i="7"/>
  <c r="B69" i="7"/>
  <c r="H60" i="7" l="1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AA58" i="7"/>
  <c r="H59" i="7"/>
  <c r="H58" i="7"/>
  <c r="B39" i="7" l="1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H18" i="7" l="1"/>
  <c r="J18" i="7"/>
  <c r="H19" i="7"/>
  <c r="J19" i="7"/>
  <c r="H21" i="7"/>
  <c r="J21" i="7"/>
  <c r="B14" i="7"/>
  <c r="H14" i="7"/>
  <c r="J14" i="7"/>
  <c r="L14" i="7"/>
  <c r="B15" i="7"/>
  <c r="H15" i="7"/>
  <c r="J15" i="7"/>
  <c r="L15" i="7"/>
  <c r="B16" i="7"/>
  <c r="H16" i="7"/>
  <c r="J16" i="7"/>
  <c r="L16" i="7"/>
  <c r="B17" i="7"/>
  <c r="H17" i="7"/>
  <c r="J17" i="7"/>
  <c r="L17" i="7"/>
  <c r="L18" i="7" l="1"/>
  <c r="L19" i="7"/>
  <c r="L21" i="7"/>
  <c r="H22" i="7"/>
  <c r="J22" i="7"/>
  <c r="L22" i="7"/>
  <c r="H23" i="7"/>
  <c r="J23" i="7"/>
  <c r="L23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56" i="7"/>
  <c r="J56" i="7"/>
  <c r="L56" i="7"/>
  <c r="H57" i="7"/>
  <c r="J57" i="7"/>
  <c r="L57" i="7"/>
  <c r="L58" i="7"/>
  <c r="L59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58" i="7"/>
  <c r="B59" i="7"/>
  <c r="B60" i="7"/>
  <c r="B61" i="7"/>
  <c r="B62" i="7"/>
  <c r="B63" i="7"/>
  <c r="B64" i="7"/>
  <c r="B65" i="7"/>
  <c r="B66" i="7"/>
  <c r="B67" i="7"/>
  <c r="B68" i="7"/>
  <c r="A10" i="4"/>
  <c r="K6" i="4"/>
  <c r="B6" i="4"/>
  <c r="C9" i="5"/>
  <c r="C8" i="7" l="1"/>
  <c r="H4" i="17"/>
  <c r="H4" i="16"/>
  <c r="H4" i="15"/>
  <c r="H4" i="20"/>
  <c r="H4" i="19"/>
  <c r="H4" i="18"/>
  <c r="H4" i="14"/>
  <c r="H4" i="21"/>
  <c r="H4" i="13"/>
  <c r="C9" i="7"/>
  <c r="H2" i="20"/>
  <c r="H2" i="16"/>
  <c r="H2" i="15"/>
  <c r="H2" i="18"/>
  <c r="H2" i="14"/>
  <c r="H2" i="21"/>
  <c r="H2" i="19"/>
  <c r="H2" i="17"/>
  <c r="H2" i="13"/>
  <c r="H28" i="12"/>
  <c r="H24" i="12"/>
  <c r="H19" i="12"/>
  <c r="H5" i="12"/>
  <c r="H10" i="12"/>
  <c r="H4" i="12"/>
  <c r="H27" i="12"/>
  <c r="H23" i="12"/>
  <c r="H18" i="12"/>
  <c r="H6" i="12"/>
  <c r="H11" i="12"/>
  <c r="H30" i="12"/>
  <c r="H26" i="12"/>
  <c r="H22" i="12"/>
  <c r="H17" i="12"/>
  <c r="H7" i="12"/>
  <c r="H12" i="12"/>
  <c r="H29" i="12"/>
  <c r="H25" i="12"/>
  <c r="H20" i="12"/>
  <c r="H16" i="12"/>
  <c r="H8" i="12"/>
  <c r="H13" i="12"/>
  <c r="H21" i="12"/>
  <c r="H9" i="12"/>
  <c r="H31" i="12"/>
  <c r="H15" i="12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14" i="12"/>
  <c r="L18" i="12"/>
  <c r="L22" i="12"/>
  <c r="L26" i="12"/>
  <c r="L5" i="12"/>
  <c r="L10" i="12"/>
  <c r="L4" i="12"/>
  <c r="I9" i="12"/>
  <c r="I13" i="12"/>
  <c r="I18" i="12"/>
  <c r="I22" i="12"/>
  <c r="K22" i="12" s="1"/>
  <c r="I26" i="12"/>
  <c r="K26" i="12" s="1"/>
  <c r="I30" i="12"/>
  <c r="I4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L16" i="12"/>
  <c r="I16" i="12"/>
  <c r="I8" i="12"/>
  <c r="L8" i="12"/>
  <c r="I113" i="4"/>
  <c r="J113" i="4"/>
  <c r="L110" i="7" s="1"/>
  <c r="I114" i="4"/>
  <c r="J114" i="4"/>
  <c r="J112" i="4"/>
  <c r="L109" i="7" s="1"/>
  <c r="I112" i="4"/>
  <c r="F24" i="5"/>
  <c r="K18" i="12" l="1"/>
  <c r="M18" i="12" s="1"/>
  <c r="K30" i="12"/>
  <c r="K17" i="12"/>
  <c r="M17" i="12" s="1"/>
  <c r="K4" i="12"/>
  <c r="M4" i="12" s="1"/>
  <c r="H24" i="14"/>
  <c r="H28" i="14"/>
  <c r="H19" i="14"/>
  <c r="H16" i="14"/>
  <c r="H26" i="14"/>
  <c r="H21" i="14"/>
  <c r="H23" i="14"/>
  <c r="H29" i="14"/>
  <c r="H20" i="14"/>
  <c r="H22" i="14"/>
  <c r="H25" i="14"/>
  <c r="H17" i="14"/>
  <c r="H27" i="14"/>
  <c r="H18" i="14"/>
  <c r="H24" i="17"/>
  <c r="H26" i="17"/>
  <c r="H23" i="17"/>
  <c r="H16" i="17"/>
  <c r="H29" i="17"/>
  <c r="H21" i="17"/>
  <c r="H19" i="17"/>
  <c r="H18" i="17"/>
  <c r="H27" i="17"/>
  <c r="H17" i="17"/>
  <c r="H28" i="17"/>
  <c r="H20" i="17"/>
  <c r="H22" i="17"/>
  <c r="H25" i="17"/>
  <c r="H24" i="18"/>
  <c r="H26" i="18"/>
  <c r="H19" i="18"/>
  <c r="H23" i="18"/>
  <c r="H16" i="18"/>
  <c r="H29" i="18"/>
  <c r="H21" i="18"/>
  <c r="H28" i="18"/>
  <c r="H20" i="18"/>
  <c r="H22" i="18"/>
  <c r="H25" i="18"/>
  <c r="H17" i="18"/>
  <c r="H18" i="18"/>
  <c r="H27" i="18"/>
  <c r="H24" i="20"/>
  <c r="H23" i="20"/>
  <c r="H16" i="20"/>
  <c r="H26" i="20"/>
  <c r="H21" i="20"/>
  <c r="H29" i="20"/>
  <c r="H19" i="20"/>
  <c r="H20" i="20"/>
  <c r="H22" i="20"/>
  <c r="H25" i="20"/>
  <c r="H17" i="20"/>
  <c r="H28" i="20"/>
  <c r="H18" i="20"/>
  <c r="H27" i="20"/>
  <c r="H24" i="19"/>
  <c r="H29" i="19"/>
  <c r="H19" i="19"/>
  <c r="H26" i="19"/>
  <c r="H21" i="19"/>
  <c r="H23" i="19"/>
  <c r="H16" i="19"/>
  <c r="H20" i="19"/>
  <c r="H28" i="19"/>
  <c r="H22" i="19"/>
  <c r="H25" i="19"/>
  <c r="H17" i="19"/>
  <c r="H18" i="19"/>
  <c r="H27" i="19"/>
  <c r="H24" i="15"/>
  <c r="H29" i="15"/>
  <c r="H19" i="15"/>
  <c r="H26" i="15"/>
  <c r="H21" i="15"/>
  <c r="H23" i="15"/>
  <c r="H16" i="15"/>
  <c r="H25" i="15"/>
  <c r="H18" i="15"/>
  <c r="H27" i="15"/>
  <c r="H20" i="15"/>
  <c r="H17" i="15"/>
  <c r="H28" i="15"/>
  <c r="H22" i="15"/>
  <c r="H22" i="13"/>
  <c r="H24" i="13"/>
  <c r="H25" i="13"/>
  <c r="H26" i="13"/>
  <c r="H21" i="13"/>
  <c r="H27" i="13"/>
  <c r="H16" i="13"/>
  <c r="H29" i="13"/>
  <c r="H28" i="13"/>
  <c r="H18" i="13"/>
  <c r="H20" i="13"/>
  <c r="H19" i="13"/>
  <c r="H17" i="13"/>
  <c r="H23" i="13"/>
  <c r="H24" i="21"/>
  <c r="H21" i="21"/>
  <c r="H29" i="21"/>
  <c r="H19" i="21"/>
  <c r="H26" i="21"/>
  <c r="H16" i="21"/>
  <c r="H23" i="21"/>
  <c r="H22" i="21"/>
  <c r="H25" i="21"/>
  <c r="H28" i="21"/>
  <c r="H18" i="21"/>
  <c r="H27" i="21"/>
  <c r="H17" i="21"/>
  <c r="H20" i="21"/>
  <c r="H24" i="16"/>
  <c r="H23" i="16"/>
  <c r="H26" i="16"/>
  <c r="H29" i="16"/>
  <c r="H21" i="16"/>
  <c r="H28" i="16"/>
  <c r="H19" i="16"/>
  <c r="H16" i="16"/>
  <c r="H18" i="16"/>
  <c r="H27" i="16"/>
  <c r="H20" i="16"/>
  <c r="H22" i="16"/>
  <c r="H25" i="16"/>
  <c r="H17" i="16"/>
  <c r="K7" i="12"/>
  <c r="M7" i="12" s="1"/>
  <c r="K33" i="12"/>
  <c r="M33" i="12" s="1"/>
  <c r="K16" i="12"/>
  <c r="M16" i="12" s="1"/>
  <c r="M22" i="12"/>
  <c r="K12" i="12"/>
  <c r="M12" i="12" s="1"/>
  <c r="M26" i="12"/>
  <c r="K29" i="12"/>
  <c r="M29" i="12" s="1"/>
  <c r="K25" i="12"/>
  <c r="M25" i="12" s="1"/>
  <c r="I41" i="12"/>
  <c r="K21" i="12"/>
  <c r="M21" i="12" s="1"/>
  <c r="K20" i="12"/>
  <c r="M20" i="12" s="1"/>
  <c r="K27" i="12"/>
  <c r="M27" i="12" s="1"/>
  <c r="K9" i="12"/>
  <c r="M9" i="12" s="1"/>
  <c r="K11" i="12"/>
  <c r="M11" i="12" s="1"/>
  <c r="K14" i="12"/>
  <c r="M14" i="12" s="1"/>
  <c r="K23" i="12"/>
  <c r="M23" i="12" s="1"/>
  <c r="K6" i="12"/>
  <c r="M6" i="12" s="1"/>
  <c r="K28" i="12"/>
  <c r="M28" i="12" s="1"/>
  <c r="K10" i="12"/>
  <c r="M10" i="12" s="1"/>
  <c r="K5" i="12"/>
  <c r="M5" i="12" s="1"/>
  <c r="K19" i="12"/>
  <c r="M19" i="12" s="1"/>
  <c r="K24" i="12"/>
  <c r="M24" i="12" s="1"/>
  <c r="K31" i="12"/>
  <c r="M31" i="12" s="1"/>
  <c r="K13" i="12"/>
  <c r="M13" i="12" s="1"/>
  <c r="K15" i="12"/>
  <c r="M15" i="12" s="1"/>
  <c r="K8" i="12"/>
  <c r="F18" i="5"/>
  <c r="H37" i="13" l="1"/>
  <c r="H47" i="13"/>
  <c r="H57" i="13"/>
  <c r="H34" i="13"/>
  <c r="H36" i="13"/>
  <c r="H38" i="13"/>
  <c r="H40" i="13"/>
  <c r="H42" i="13"/>
  <c r="H44" i="13"/>
  <c r="H46" i="13"/>
  <c r="H48" i="13"/>
  <c r="H50" i="13"/>
  <c r="H52" i="13"/>
  <c r="H54" i="13"/>
  <c r="H56" i="13"/>
  <c r="H58" i="13"/>
  <c r="H60" i="13"/>
  <c r="H62" i="13"/>
  <c r="H35" i="13"/>
  <c r="H39" i="13"/>
  <c r="H43" i="13"/>
  <c r="H51" i="13"/>
  <c r="H55" i="13"/>
  <c r="H61" i="13"/>
  <c r="H32" i="13"/>
  <c r="H33" i="13"/>
  <c r="H41" i="13"/>
  <c r="H45" i="13"/>
  <c r="H49" i="13"/>
  <c r="H53" i="13"/>
  <c r="H59" i="13"/>
  <c r="H61" i="14"/>
  <c r="H36" i="14"/>
  <c r="H38" i="14"/>
  <c r="H49" i="14"/>
  <c r="H57" i="14"/>
  <c r="H34" i="14"/>
  <c r="H37" i="14"/>
  <c r="H50" i="14"/>
  <c r="H58" i="14"/>
  <c r="H40" i="14"/>
  <c r="H39" i="14"/>
  <c r="H41" i="14"/>
  <c r="H51" i="14"/>
  <c r="H59" i="14"/>
  <c r="H44" i="14"/>
  <c r="H43" i="14"/>
  <c r="H52" i="14"/>
  <c r="H60" i="14"/>
  <c r="H45" i="14"/>
  <c r="H53" i="14"/>
  <c r="H62" i="14"/>
  <c r="H46" i="14"/>
  <c r="H54" i="14"/>
  <c r="H42" i="14"/>
  <c r="H35" i="14"/>
  <c r="H47" i="14"/>
  <c r="H33" i="14"/>
  <c r="H32" i="14"/>
  <c r="H55" i="14"/>
  <c r="H48" i="14"/>
  <c r="H56" i="14"/>
  <c r="H61" i="17"/>
  <c r="H42" i="17"/>
  <c r="H38" i="17"/>
  <c r="H49" i="17"/>
  <c r="H57" i="17"/>
  <c r="H40" i="17"/>
  <c r="H46" i="17"/>
  <c r="H54" i="17"/>
  <c r="H41" i="17"/>
  <c r="H51" i="17"/>
  <c r="H59" i="17"/>
  <c r="H34" i="17"/>
  <c r="H44" i="17"/>
  <c r="H33" i="17"/>
  <c r="H48" i="17"/>
  <c r="H56" i="17"/>
  <c r="H35" i="17"/>
  <c r="H53" i="17"/>
  <c r="H32" i="17"/>
  <c r="H50" i="17"/>
  <c r="H55" i="17"/>
  <c r="H60" i="17"/>
  <c r="H52" i="17"/>
  <c r="H47" i="17"/>
  <c r="H36" i="17"/>
  <c r="H45" i="17"/>
  <c r="H62" i="17"/>
  <c r="H37" i="17"/>
  <c r="H58" i="17"/>
  <c r="H39" i="17"/>
  <c r="H43" i="17"/>
  <c r="H61" i="16"/>
  <c r="H40" i="16"/>
  <c r="H39" i="16"/>
  <c r="H41" i="16"/>
  <c r="H51" i="16"/>
  <c r="H59" i="16"/>
  <c r="H33" i="16"/>
  <c r="H48" i="16"/>
  <c r="H56" i="16"/>
  <c r="H34" i="16"/>
  <c r="H44" i="16"/>
  <c r="H42" i="16"/>
  <c r="H45" i="16"/>
  <c r="H53" i="16"/>
  <c r="H62" i="16"/>
  <c r="H37" i="16"/>
  <c r="H50" i="16"/>
  <c r="H58" i="16"/>
  <c r="H36" i="16"/>
  <c r="H60" i="16"/>
  <c r="H47" i="16"/>
  <c r="H55" i="16"/>
  <c r="H43" i="16"/>
  <c r="H52" i="16"/>
  <c r="H35" i="16"/>
  <c r="H57" i="16"/>
  <c r="H54" i="16"/>
  <c r="H32" i="16"/>
  <c r="H38" i="16"/>
  <c r="H49" i="16"/>
  <c r="H46" i="16"/>
  <c r="H61" i="15"/>
  <c r="H41" i="15"/>
  <c r="H51" i="15"/>
  <c r="H59" i="15"/>
  <c r="H36" i="15"/>
  <c r="H33" i="15"/>
  <c r="H48" i="15"/>
  <c r="H56" i="15"/>
  <c r="H35" i="15"/>
  <c r="H45" i="15"/>
  <c r="H53" i="15"/>
  <c r="H62" i="15"/>
  <c r="H39" i="15"/>
  <c r="H37" i="15"/>
  <c r="H50" i="15"/>
  <c r="H58" i="15"/>
  <c r="H47" i="15"/>
  <c r="H55" i="15"/>
  <c r="H32" i="15"/>
  <c r="H40" i="15"/>
  <c r="H42" i="15"/>
  <c r="H43" i="15"/>
  <c r="H52" i="15"/>
  <c r="H60" i="15"/>
  <c r="H34" i="15"/>
  <c r="H38" i="15"/>
  <c r="H46" i="15"/>
  <c r="H49" i="15"/>
  <c r="H54" i="15"/>
  <c r="H57" i="15"/>
  <c r="H44" i="15"/>
  <c r="H61" i="20"/>
  <c r="H35" i="20"/>
  <c r="H45" i="20"/>
  <c r="H53" i="20"/>
  <c r="H62" i="20"/>
  <c r="H42" i="20"/>
  <c r="H40" i="20"/>
  <c r="H37" i="20"/>
  <c r="H50" i="20"/>
  <c r="H58" i="20"/>
  <c r="H47" i="20"/>
  <c r="H55" i="20"/>
  <c r="H60" i="20"/>
  <c r="H34" i="20"/>
  <c r="H44" i="20"/>
  <c r="H43" i="20"/>
  <c r="H52" i="20"/>
  <c r="H32" i="20"/>
  <c r="H38" i="20"/>
  <c r="H49" i="20"/>
  <c r="H57" i="20"/>
  <c r="H36" i="20"/>
  <c r="H46" i="20"/>
  <c r="H54" i="20"/>
  <c r="H59" i="20"/>
  <c r="H33" i="20"/>
  <c r="H56" i="20"/>
  <c r="H41" i="20"/>
  <c r="H39" i="20"/>
  <c r="H48" i="20"/>
  <c r="H51" i="20"/>
  <c r="H61" i="19"/>
  <c r="H36" i="19"/>
  <c r="H38" i="19"/>
  <c r="H49" i="19"/>
  <c r="H57" i="19"/>
  <c r="H42" i="19"/>
  <c r="H34" i="19"/>
  <c r="H44" i="19"/>
  <c r="H37" i="19"/>
  <c r="H50" i="19"/>
  <c r="H58" i="19"/>
  <c r="H41" i="19"/>
  <c r="H51" i="19"/>
  <c r="H59" i="19"/>
  <c r="H60" i="19"/>
  <c r="H39" i="19"/>
  <c r="H43" i="19"/>
  <c r="H52" i="19"/>
  <c r="H35" i="19"/>
  <c r="H45" i="19"/>
  <c r="H53" i="19"/>
  <c r="H62" i="19"/>
  <c r="H46" i="19"/>
  <c r="H54" i="19"/>
  <c r="H56" i="19"/>
  <c r="H47" i="19"/>
  <c r="H40" i="19"/>
  <c r="H32" i="19"/>
  <c r="H55" i="19"/>
  <c r="H33" i="19"/>
  <c r="H48" i="19"/>
  <c r="H61" i="18"/>
  <c r="H36" i="18"/>
  <c r="H35" i="18"/>
  <c r="H47" i="18"/>
  <c r="H59" i="18"/>
  <c r="H40" i="18"/>
  <c r="H49" i="18"/>
  <c r="H37" i="18"/>
  <c r="H50" i="18"/>
  <c r="H58" i="18"/>
  <c r="H39" i="18"/>
  <c r="H51" i="18"/>
  <c r="H62" i="18"/>
  <c r="H34" i="18"/>
  <c r="H44" i="18"/>
  <c r="H53" i="18"/>
  <c r="H43" i="18"/>
  <c r="H52" i="18"/>
  <c r="H32" i="18"/>
  <c r="H42" i="18"/>
  <c r="H38" i="18"/>
  <c r="H55" i="18"/>
  <c r="H60" i="18"/>
  <c r="H46" i="18"/>
  <c r="H54" i="18"/>
  <c r="H48" i="18"/>
  <c r="H56" i="18"/>
  <c r="H57" i="18"/>
  <c r="H41" i="18"/>
  <c r="H45" i="18"/>
  <c r="H33" i="18"/>
  <c r="H61" i="21"/>
  <c r="H39" i="21"/>
  <c r="H38" i="21"/>
  <c r="H49" i="21"/>
  <c r="H57" i="21"/>
  <c r="H60" i="21"/>
  <c r="H40" i="21"/>
  <c r="H37" i="21"/>
  <c r="H50" i="21"/>
  <c r="H58" i="21"/>
  <c r="H42" i="21"/>
  <c r="H41" i="21"/>
  <c r="H51" i="21"/>
  <c r="H59" i="21"/>
  <c r="H44" i="21"/>
  <c r="H43" i="21"/>
  <c r="H52" i="21"/>
  <c r="H45" i="21"/>
  <c r="H53" i="21"/>
  <c r="H62" i="21"/>
  <c r="H46" i="21"/>
  <c r="H54" i="21"/>
  <c r="H35" i="21"/>
  <c r="H48" i="21"/>
  <c r="H47" i="21"/>
  <c r="H56" i="21"/>
  <c r="H32" i="21"/>
  <c r="H55" i="21"/>
  <c r="H34" i="21"/>
  <c r="H36" i="21"/>
  <c r="H33" i="21"/>
  <c r="G45" i="12"/>
  <c r="M8" i="12"/>
  <c r="E12" i="5"/>
  <c r="J10" i="4" s="1"/>
  <c r="I9" i="7" l="1"/>
  <c r="G16" i="20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G28" i="20" s="1"/>
  <c r="G29" i="20" s="1"/>
  <c r="G16" i="14"/>
  <c r="G17" i="14" s="1"/>
  <c r="G18" i="14" s="1"/>
  <c r="G19" i="14" s="1"/>
  <c r="G20" i="14" s="1"/>
  <c r="G21" i="14" s="1"/>
  <c r="G22" i="14" s="1"/>
  <c r="G23" i="14" s="1"/>
  <c r="G24" i="14" s="1"/>
  <c r="G25" i="14" s="1"/>
  <c r="G26" i="14" s="1"/>
  <c r="G27" i="14" s="1"/>
  <c r="G28" i="14" s="1"/>
  <c r="G29" i="14" s="1"/>
  <c r="G16" i="21"/>
  <c r="G17" i="21" s="1"/>
  <c r="G18" i="21" s="1"/>
  <c r="G19" i="21" s="1"/>
  <c r="G20" i="21" s="1"/>
  <c r="G21" i="21" s="1"/>
  <c r="G22" i="21" s="1"/>
  <c r="G23" i="21" s="1"/>
  <c r="G24" i="21" s="1"/>
  <c r="G25" i="21" s="1"/>
  <c r="G26" i="21" s="1"/>
  <c r="G27" i="21" s="1"/>
  <c r="G28" i="21" s="1"/>
  <c r="G29" i="21" s="1"/>
  <c r="G16" i="18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16" i="17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G16" i="19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G16" i="16"/>
  <c r="G17" i="16" s="1"/>
  <c r="G18" i="16" s="1"/>
  <c r="G19" i="16" s="1"/>
  <c r="G20" i="16" s="1"/>
  <c r="G21" i="16" s="1"/>
  <c r="G22" i="16" s="1"/>
  <c r="G23" i="16" s="1"/>
  <c r="G24" i="16" s="1"/>
  <c r="G25" i="16" s="1"/>
  <c r="G26" i="16" s="1"/>
  <c r="G27" i="16" s="1"/>
  <c r="G28" i="16" s="1"/>
  <c r="G29" i="16" s="1"/>
  <c r="G16" i="15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16" i="13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L49" i="4"/>
  <c r="K49" i="4"/>
  <c r="J49" i="4"/>
  <c r="I49" i="4"/>
  <c r="H49" i="4"/>
  <c r="G49" i="4"/>
  <c r="F49" i="4"/>
  <c r="E49" i="4"/>
  <c r="D49" i="4"/>
  <c r="C49" i="4"/>
  <c r="B49" i="4"/>
  <c r="E113" i="4"/>
  <c r="E114" i="4"/>
  <c r="E112" i="4"/>
  <c r="A113" i="4"/>
  <c r="A114" i="4"/>
  <c r="A112" i="4"/>
  <c r="B48" i="5"/>
  <c r="L79" i="4"/>
  <c r="F23" i="5" s="1"/>
  <c r="F106" i="4"/>
  <c r="L106" i="4"/>
  <c r="F26" i="5" s="1"/>
  <c r="L27" i="4"/>
  <c r="G35" i="12" l="1"/>
  <c r="F25" i="5"/>
  <c r="L81" i="4"/>
  <c r="G38" i="12" s="1"/>
  <c r="G42" i="19"/>
  <c r="G59" i="19"/>
  <c r="G54" i="19"/>
  <c r="G46" i="19"/>
  <c r="G57" i="19"/>
  <c r="G41" i="19"/>
  <c r="G40" i="19"/>
  <c r="G51" i="19"/>
  <c r="G39" i="19"/>
  <c r="G61" i="19"/>
  <c r="G52" i="19"/>
  <c r="G43" i="19"/>
  <c r="G53" i="19"/>
  <c r="G38" i="19"/>
  <c r="G34" i="19"/>
  <c r="G47" i="19"/>
  <c r="G36" i="19"/>
  <c r="G58" i="19"/>
  <c r="G50" i="19"/>
  <c r="G37" i="19"/>
  <c r="G49" i="19"/>
  <c r="G35" i="19"/>
  <c r="G62" i="19"/>
  <c r="G56" i="19"/>
  <c r="G44" i="19"/>
  <c r="G48" i="19"/>
  <c r="G55" i="19"/>
  <c r="G45" i="19"/>
  <c r="G60" i="19"/>
  <c r="G33" i="19"/>
  <c r="G32" i="19"/>
  <c r="G60" i="14"/>
  <c r="G32" i="14"/>
  <c r="G33" i="14"/>
  <c r="G59" i="14"/>
  <c r="G51" i="14"/>
  <c r="G41" i="14"/>
  <c r="G58" i="14"/>
  <c r="G50" i="14"/>
  <c r="G42" i="14"/>
  <c r="G48" i="14"/>
  <c r="G44" i="14"/>
  <c r="G57" i="14"/>
  <c r="G49" i="14"/>
  <c r="G38" i="14"/>
  <c r="G56" i="14"/>
  <c r="G46" i="14"/>
  <c r="G39" i="14"/>
  <c r="G43" i="14"/>
  <c r="G40" i="14"/>
  <c r="G55" i="14"/>
  <c r="G47" i="14"/>
  <c r="G35" i="14"/>
  <c r="G54" i="14"/>
  <c r="G34" i="14"/>
  <c r="G53" i="14"/>
  <c r="G36" i="14"/>
  <c r="G62" i="14"/>
  <c r="G45" i="14"/>
  <c r="G37" i="14"/>
  <c r="G61" i="14"/>
  <c r="G52" i="14"/>
  <c r="G60" i="15"/>
  <c r="G32" i="15"/>
  <c r="G47" i="15"/>
  <c r="G54" i="15"/>
  <c r="G46" i="15"/>
  <c r="G57" i="15"/>
  <c r="G41" i="15"/>
  <c r="G40" i="15"/>
  <c r="G42" i="15"/>
  <c r="G59" i="15"/>
  <c r="G61" i="15"/>
  <c r="G52" i="15"/>
  <c r="G43" i="15"/>
  <c r="G53" i="15"/>
  <c r="G38" i="15"/>
  <c r="G34" i="15"/>
  <c r="G39" i="15"/>
  <c r="G55" i="15"/>
  <c r="G58" i="15"/>
  <c r="G50" i="15"/>
  <c r="G37" i="15"/>
  <c r="G49" i="15"/>
  <c r="G35" i="15"/>
  <c r="G62" i="15"/>
  <c r="G51" i="15"/>
  <c r="G45" i="15"/>
  <c r="G44" i="15"/>
  <c r="G56" i="15"/>
  <c r="G48" i="15"/>
  <c r="G36" i="15"/>
  <c r="G33" i="15"/>
  <c r="G42" i="16"/>
  <c r="G39" i="16"/>
  <c r="G36" i="16"/>
  <c r="G62" i="16"/>
  <c r="G53" i="16"/>
  <c r="G41" i="16"/>
  <c r="G58" i="16"/>
  <c r="G50" i="16"/>
  <c r="G37" i="16"/>
  <c r="G32" i="16"/>
  <c r="G59" i="16"/>
  <c r="G51" i="16"/>
  <c r="G38" i="16"/>
  <c r="G56" i="16"/>
  <c r="G48" i="16"/>
  <c r="G33" i="16"/>
  <c r="G60" i="16"/>
  <c r="G55" i="16"/>
  <c r="G44" i="16"/>
  <c r="G57" i="16"/>
  <c r="G49" i="16"/>
  <c r="G35" i="16"/>
  <c r="G54" i="16"/>
  <c r="G46" i="16"/>
  <c r="G34" i="16"/>
  <c r="G40" i="16"/>
  <c r="G43" i="16"/>
  <c r="G47" i="16"/>
  <c r="G45" i="16"/>
  <c r="G61" i="16"/>
  <c r="G52" i="16"/>
  <c r="G60" i="21"/>
  <c r="G32" i="21"/>
  <c r="G54" i="21"/>
  <c r="G46" i="21"/>
  <c r="G59" i="21"/>
  <c r="G44" i="21"/>
  <c r="G57" i="21"/>
  <c r="G41" i="21"/>
  <c r="G42" i="21"/>
  <c r="G61" i="21"/>
  <c r="G52" i="21"/>
  <c r="G43" i="21"/>
  <c r="G55" i="21"/>
  <c r="G40" i="21"/>
  <c r="G53" i="21"/>
  <c r="G38" i="21"/>
  <c r="G39" i="21"/>
  <c r="G58" i="21"/>
  <c r="G50" i="21"/>
  <c r="G37" i="21"/>
  <c r="G51" i="21"/>
  <c r="G34" i="21"/>
  <c r="G49" i="21"/>
  <c r="G35" i="21"/>
  <c r="G36" i="21"/>
  <c r="G47" i="21"/>
  <c r="G56" i="21"/>
  <c r="G62" i="21"/>
  <c r="G33" i="21"/>
  <c r="G48" i="21"/>
  <c r="G45" i="21"/>
  <c r="G34" i="13"/>
  <c r="G36" i="13"/>
  <c r="G38" i="13"/>
  <c r="G40" i="13"/>
  <c r="G42" i="13"/>
  <c r="G44" i="13"/>
  <c r="G46" i="13"/>
  <c r="G48" i="13"/>
  <c r="G50" i="13"/>
  <c r="G52" i="13"/>
  <c r="G54" i="13"/>
  <c r="G56" i="13"/>
  <c r="G58" i="13"/>
  <c r="G60" i="13"/>
  <c r="G62" i="13"/>
  <c r="G33" i="13"/>
  <c r="G35" i="13"/>
  <c r="G37" i="13"/>
  <c r="G39" i="13"/>
  <c r="G41" i="13"/>
  <c r="G43" i="13"/>
  <c r="G45" i="13"/>
  <c r="G47" i="13"/>
  <c r="G49" i="13"/>
  <c r="G51" i="13"/>
  <c r="G53" i="13"/>
  <c r="G55" i="13"/>
  <c r="G57" i="13"/>
  <c r="G59" i="13"/>
  <c r="G61" i="13"/>
  <c r="G32" i="13"/>
  <c r="G60" i="17"/>
  <c r="G32" i="17"/>
  <c r="G42" i="17"/>
  <c r="G57" i="17"/>
  <c r="G38" i="17"/>
  <c r="G56" i="17"/>
  <c r="G48" i="17"/>
  <c r="G33" i="17"/>
  <c r="G44" i="17"/>
  <c r="G53" i="17"/>
  <c r="G39" i="17"/>
  <c r="G51" i="17"/>
  <c r="G35" i="17"/>
  <c r="G54" i="17"/>
  <c r="G46" i="17"/>
  <c r="G59" i="17"/>
  <c r="G40" i="17"/>
  <c r="G45" i="17"/>
  <c r="G61" i="17"/>
  <c r="G43" i="17"/>
  <c r="G34" i="17"/>
  <c r="G36" i="17"/>
  <c r="G58" i="17"/>
  <c r="G37" i="17"/>
  <c r="G62" i="17"/>
  <c r="G41" i="17"/>
  <c r="G49" i="17"/>
  <c r="G47" i="17"/>
  <c r="G52" i="17"/>
  <c r="G55" i="17"/>
  <c r="G50" i="17"/>
  <c r="G36" i="20"/>
  <c r="G61" i="20"/>
  <c r="G52" i="20"/>
  <c r="G43" i="20"/>
  <c r="G53" i="20"/>
  <c r="G44" i="20"/>
  <c r="G55" i="20"/>
  <c r="G60" i="20"/>
  <c r="G32" i="20"/>
  <c r="G58" i="20"/>
  <c r="G50" i="20"/>
  <c r="G37" i="20"/>
  <c r="G49" i="20"/>
  <c r="G40" i="20"/>
  <c r="G51" i="20"/>
  <c r="G42" i="20"/>
  <c r="G59" i="20"/>
  <c r="G56" i="20"/>
  <c r="G48" i="20"/>
  <c r="G33" i="20"/>
  <c r="G45" i="20"/>
  <c r="G34" i="20"/>
  <c r="G47" i="20"/>
  <c r="G54" i="20"/>
  <c r="G62" i="20"/>
  <c r="G46" i="20"/>
  <c r="G35" i="20"/>
  <c r="G38" i="20"/>
  <c r="G39" i="20"/>
  <c r="G57" i="20"/>
  <c r="G41" i="20"/>
  <c r="G36" i="18"/>
  <c r="G51" i="18"/>
  <c r="G56" i="18"/>
  <c r="G48" i="18"/>
  <c r="G33" i="18"/>
  <c r="G62" i="18"/>
  <c r="G45" i="18"/>
  <c r="G60" i="18"/>
  <c r="G32" i="18"/>
  <c r="G47" i="18"/>
  <c r="G54" i="18"/>
  <c r="G46" i="18"/>
  <c r="G44" i="18"/>
  <c r="G57" i="18"/>
  <c r="G41" i="18"/>
  <c r="G42" i="18"/>
  <c r="G59" i="18"/>
  <c r="G61" i="18"/>
  <c r="G52" i="18"/>
  <c r="G43" i="18"/>
  <c r="G40" i="18"/>
  <c r="G53" i="18"/>
  <c r="G38" i="18"/>
  <c r="G50" i="18"/>
  <c r="G35" i="18"/>
  <c r="G39" i="18"/>
  <c r="G37" i="18"/>
  <c r="G58" i="18"/>
  <c r="G55" i="18"/>
  <c r="G34" i="18"/>
  <c r="G49" i="18"/>
  <c r="L29" i="4"/>
  <c r="F17" i="5"/>
  <c r="F27" i="5" l="1"/>
  <c r="F30" i="5" s="1"/>
  <c r="L108" i="4"/>
  <c r="G34" i="12"/>
  <c r="G41" i="12" s="1"/>
  <c r="G27" i="5" l="1"/>
  <c r="F48" i="12"/>
  <c r="F46" i="12"/>
  <c r="F45" i="12"/>
  <c r="F49" i="12"/>
  <c r="F44" i="12"/>
  <c r="F47" i="12"/>
  <c r="H44" i="12" l="1"/>
  <c r="M52" i="21" l="1"/>
  <c r="N88" i="7" s="1"/>
  <c r="N77" i="7"/>
  <c r="M56" i="21"/>
  <c r="N92" i="7" s="1"/>
  <c r="M54" i="21"/>
  <c r="N90" i="7" s="1"/>
  <c r="M51" i="21"/>
  <c r="N87" i="7" s="1"/>
  <c r="M49" i="21"/>
  <c r="N85" i="7" s="1"/>
  <c r="M47" i="21"/>
  <c r="M55" i="21"/>
  <c r="N91" i="7" s="1"/>
  <c r="M53" i="21"/>
  <c r="N89" i="7" s="1"/>
  <c r="M50" i="21"/>
  <c r="N86" i="7" s="1"/>
  <c r="M48" i="21"/>
  <c r="N84" i="7" s="1"/>
  <c r="L30" i="12" l="1"/>
  <c r="N83" i="7"/>
  <c r="N62" i="21"/>
  <c r="N64" i="21" s="1"/>
  <c r="H32" i="12" l="1"/>
  <c r="K32" i="12" s="1"/>
  <c r="N105" i="7"/>
  <c r="L41" i="12"/>
  <c r="L44" i="12" s="1"/>
  <c r="M30" i="12"/>
  <c r="H41" i="12" l="1"/>
  <c r="K41" i="12"/>
  <c r="M32" i="12"/>
  <c r="M41" i="12" s="1"/>
  <c r="F32" i="5" s="1"/>
  <c r="F33" i="5" s="1"/>
  <c r="F35" i="5" s="1"/>
</calcChain>
</file>

<file path=xl/sharedStrings.xml><?xml version="1.0" encoding="utf-8"?>
<sst xmlns="http://schemas.openxmlformats.org/spreadsheetml/2006/main" count="6165" uniqueCount="1400">
  <si>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</si>
  <si>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</si>
  <si>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</si>
  <si>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</si>
  <si>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</si>
  <si>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</si>
  <si>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</si>
  <si>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</si>
  <si>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</si>
  <si>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</si>
  <si>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</si>
  <si>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</si>
  <si>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</si>
  <si>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</si>
  <si>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</si>
  <si>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</si>
  <si>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</si>
  <si>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</si>
  <si>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</si>
  <si>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</si>
  <si>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</si>
  <si>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</si>
  <si>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</si>
  <si>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</si>
  <si>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</si>
  <si>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</si>
  <si>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</si>
  <si>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</si>
  <si>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</si>
  <si>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</si>
  <si>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</si>
  <si>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</si>
  <si>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</si>
  <si>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</si>
  <si>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</si>
  <si>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</si>
  <si>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</si>
  <si>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</si>
  <si>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</si>
  <si>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</si>
  <si>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</si>
  <si>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</si>
  <si>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</si>
  <si>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</si>
  <si>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</si>
  <si>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</si>
  <si>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</si>
  <si>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</si>
  <si>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</si>
  <si>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</si>
  <si>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</si>
  <si>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</si>
  <si>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</si>
  <si>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</si>
  <si>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</si>
  <si>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</si>
  <si>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</si>
  <si>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</si>
  <si>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</si>
  <si>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</si>
  <si>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</si>
  <si>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</si>
  <si>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</si>
  <si>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</si>
  <si>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</si>
  <si>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</si>
  <si>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</si>
  <si>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</si>
  <si>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</si>
  <si>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</si>
  <si>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</si>
  <si>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</si>
  <si>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</si>
  <si>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</si>
  <si>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</si>
  <si>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</si>
  <si>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</si>
  <si>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</si>
  <si>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</si>
  <si>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</si>
  <si>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</si>
  <si>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</si>
  <si>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</si>
  <si>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</si>
  <si>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</si>
  <si>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</si>
  <si>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</si>
  <si>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</si>
  <si>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</si>
  <si>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</si>
  <si>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</si>
  <si>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</si>
  <si>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</si>
  <si>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</si>
  <si>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</si>
  <si>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</si>
  <si>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</si>
  <si>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</si>
  <si>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</si>
  <si>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</si>
  <si>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</si>
  <si>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</si>
  <si>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</si>
  <si>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</si>
  <si>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</si>
  <si>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</si>
  <si>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</si>
  <si>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</si>
  <si>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</si>
  <si>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</si>
  <si>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</si>
  <si>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</si>
  <si>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</si>
  <si>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</si>
  <si>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</si>
  <si>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</si>
  <si>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</si>
  <si>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</si>
  <si>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</si>
  <si>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</si>
  <si>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</si>
  <si>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</si>
  <si>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</si>
  <si>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</si>
  <si>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</si>
  <si>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</si>
  <si>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</si>
  <si>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</si>
  <si>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</si>
  <si>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</si>
  <si>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</si>
  <si>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</si>
  <si>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</si>
  <si>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</si>
  <si>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</si>
  <si>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</si>
  <si>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</si>
  <si>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</si>
  <si>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</si>
  <si>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</si>
  <si>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</si>
  <si>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</si>
  <si>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</si>
  <si>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</si>
  <si>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</si>
  <si>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</si>
  <si>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</si>
  <si>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</si>
  <si>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</si>
  <si>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</si>
  <si>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</si>
  <si>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</si>
  <si>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</si>
  <si>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</si>
  <si>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</si>
  <si>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</si>
  <si>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</si>
  <si>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</si>
  <si>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</si>
  <si>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</si>
  <si>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</si>
  <si>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</si>
  <si>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</si>
  <si>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</si>
  <si>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</si>
  <si>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</si>
  <si>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</si>
  <si>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</si>
  <si>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</si>
  <si>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</si>
  <si>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</si>
  <si>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</si>
  <si>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</si>
  <si>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</si>
  <si>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</si>
  <si>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</si>
  <si>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</si>
  <si>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</si>
  <si>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</si>
  <si>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</si>
  <si>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</si>
  <si>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</si>
  <si>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</si>
  <si>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</si>
  <si>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</si>
  <si>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</si>
  <si>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</si>
  <si>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</si>
  <si>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</si>
  <si>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</si>
  <si>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</si>
  <si>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</si>
  <si>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</si>
  <si>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</si>
  <si>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</si>
  <si>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</si>
  <si>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</si>
  <si>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</si>
  <si>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</si>
  <si>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</si>
  <si>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</si>
  <si>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</si>
  <si>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</si>
  <si>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</si>
  <si>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</si>
  <si>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</si>
  <si>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</si>
  <si>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</si>
  <si>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</si>
  <si>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</si>
  <si>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</si>
  <si>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</si>
  <si>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</si>
  <si>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</si>
  <si>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</si>
  <si>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</si>
  <si>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</si>
  <si>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</si>
  <si>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</si>
  <si>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</si>
  <si>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</si>
  <si>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</si>
  <si>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</si>
  <si>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</si>
  <si>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</si>
  <si>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</si>
  <si>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</si>
  <si>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</si>
  <si>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</si>
  <si>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</si>
  <si>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</si>
  <si>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</si>
  <si>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>1.  Misión Proyecto Institucional y de Programa
4. Procesos Académicos (2)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</si>
  <si>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</si>
  <si>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</si>
  <si>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</si>
  <si>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</si>
  <si>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</si>
  <si>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</si>
  <si>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</si>
  <si>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</si>
  <si>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</si>
  <si>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</si>
  <si>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</si>
  <si>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</si>
  <si>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</si>
  <si>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</si>
  <si>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</si>
  <si>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</si>
  <si>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</si>
  <si>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</si>
  <si>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</si>
  <si>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</si>
  <si>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</si>
  <si>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</si>
  <si>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</si>
  <si>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</si>
  <si>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</si>
  <si>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</si>
  <si>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</si>
  <si>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</si>
  <si>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</si>
  <si>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</si>
  <si>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</si>
  <si>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</si>
  <si>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</si>
  <si>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</si>
  <si>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</si>
  <si>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</si>
  <si>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</si>
  <si>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</si>
  <si>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</si>
  <si>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</si>
  <si>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</si>
  <si>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</si>
  <si>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</si>
  <si>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</si>
  <si>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</si>
  <si>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</si>
  <si>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</si>
  <si>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</si>
  <si>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</si>
  <si>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</si>
  <si>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</si>
  <si>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</si>
  <si>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</si>
  <si>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</si>
  <si>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</si>
  <si>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</si>
  <si>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</si>
  <si>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</si>
  <si>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</si>
  <si>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</si>
  <si>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</si>
  <si>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</si>
  <si>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</si>
  <si>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</si>
  <si>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</si>
  <si>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</si>
  <si>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</si>
  <si>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</si>
  <si>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</si>
  <si>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</si>
  <si>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</si>
  <si>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</si>
  <si>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</si>
  <si>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</si>
  <si>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</si>
  <si>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</si>
  <si>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</si>
  <si>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</si>
  <si>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</si>
  <si>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</si>
  <si>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</si>
  <si>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</si>
  <si>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</si>
  <si>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</si>
  <si>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</si>
  <si>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</si>
  <si>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</si>
  <si>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</si>
  <si>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</si>
  <si>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</si>
  <si>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</si>
  <si>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</si>
  <si>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</si>
  <si>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</si>
  <si>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</si>
  <si>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</si>
  <si>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</si>
  <si>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</si>
  <si>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</si>
  <si>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</si>
  <si>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</si>
  <si>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</si>
  <si>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</si>
  <si>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</si>
  <si>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</si>
  <si>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</si>
  <si>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</si>
  <si>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</si>
  <si>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</si>
  <si>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</si>
  <si>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</si>
  <si>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</si>
  <si>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</si>
  <si>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</si>
  <si>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</si>
  <si>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</si>
  <si>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</si>
  <si>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</si>
  <si>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</si>
  <si>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</si>
  <si>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</si>
  <si>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</si>
  <si>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</si>
  <si>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</si>
  <si>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</si>
  <si>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</si>
  <si>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</si>
  <si>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</si>
  <si>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</si>
  <si>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</si>
  <si>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</si>
  <si>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</si>
  <si>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</si>
  <si>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</si>
  <si>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</si>
  <si>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</si>
  <si>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</si>
  <si>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</si>
  <si>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</si>
  <si>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</si>
  <si>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</si>
  <si>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</si>
  <si>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</si>
  <si>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</si>
  <si>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</si>
  <si>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</si>
  <si>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</si>
  <si>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</si>
  <si>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</si>
  <si>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</si>
  <si>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</si>
  <si>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</si>
  <si>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</si>
  <si>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</si>
  <si>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</si>
  <si>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</si>
  <si>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</si>
  <si>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</si>
  <si>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</si>
  <si>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</si>
  <si>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</si>
  <si>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</si>
  <si>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</si>
  <si>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</si>
  <si>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</si>
  <si>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</si>
  <si>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</si>
  <si>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</si>
  <si>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</si>
  <si>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</si>
  <si>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</si>
  <si>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</si>
  <si>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</si>
  <si>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</si>
  <si>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</si>
  <si>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</si>
  <si>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</si>
  <si>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</si>
  <si>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</si>
  <si>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</si>
  <si>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</si>
  <si>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</si>
  <si>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</si>
  <si>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</si>
  <si>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</si>
  <si>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</si>
  <si>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</si>
  <si>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</si>
  <si>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</si>
  <si>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</si>
  <si>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</si>
  <si>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</si>
  <si>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</si>
  <si>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</si>
  <si>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</si>
  <si>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</si>
  <si>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</si>
  <si>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</si>
  <si>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</si>
  <si>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</si>
  <si>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</si>
  <si>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</si>
  <si>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</si>
  <si>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</si>
  <si>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</si>
  <si>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</si>
  <si>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</si>
  <si>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</si>
  <si>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</si>
  <si>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</si>
  <si>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</si>
  <si>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</si>
  <si>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</si>
  <si>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</si>
  <si>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</si>
  <si>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</si>
  <si>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</si>
  <si>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</si>
  <si>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</si>
  <si>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</si>
  <si>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</si>
  <si>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</si>
  <si>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</si>
  <si>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</si>
  <si>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</si>
  <si>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</si>
  <si>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</si>
  <si>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</si>
  <si>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</si>
  <si>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</si>
  <si>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</si>
  <si>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</si>
  <si>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</si>
  <si>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</si>
  <si>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</si>
  <si>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</si>
  <si>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</si>
  <si>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</si>
  <si>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</si>
  <si>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</si>
  <si>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</si>
  <si>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</si>
  <si>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</si>
  <si>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</si>
  <si>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</si>
  <si>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</si>
  <si>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</si>
  <si>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</si>
  <si>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</si>
  <si>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</si>
  <si>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</si>
  <si>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</si>
  <si>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</si>
  <si>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</si>
  <si>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</si>
  <si>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</si>
  <si>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</si>
  <si>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</si>
  <si>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</si>
  <si>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</si>
  <si>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</si>
  <si>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</si>
  <si>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</si>
  <si>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</si>
  <si>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</si>
  <si>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</si>
  <si>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</si>
  <si>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</si>
  <si>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</si>
  <si>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</si>
  <si>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</si>
  <si>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</si>
  <si>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</si>
  <si>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</si>
  <si>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</si>
  <si>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</si>
  <si>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</si>
  <si>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</si>
  <si>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</si>
  <si>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</si>
  <si>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</si>
  <si>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</si>
  <si>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</si>
  <si>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</si>
  <si>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</si>
  <si>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</si>
  <si>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</si>
  <si>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</si>
  <si>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</si>
  <si>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</si>
  <si>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</si>
  <si>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</si>
  <si>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</si>
  <si>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</si>
  <si>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</si>
  <si>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</si>
  <si>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</si>
  <si>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</si>
  <si>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</si>
  <si>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</si>
  <si>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</si>
  <si>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</si>
  <si>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</si>
  <si>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</si>
  <si>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</si>
  <si>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</si>
  <si>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</si>
  <si>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</si>
  <si>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</si>
  <si>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</si>
  <si>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</si>
  <si>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</si>
  <si>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</si>
  <si>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</si>
  <si>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</si>
  <si>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</si>
  <si>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</si>
  <si>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</si>
  <si>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</si>
  <si>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</si>
  <si>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</si>
  <si>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</si>
  <si>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</si>
  <si>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</si>
  <si>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</si>
  <si>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</si>
  <si>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</si>
  <si>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</si>
  <si>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</si>
  <si>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</si>
  <si>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</si>
  <si>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</si>
  <si>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</si>
  <si>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</si>
  <si>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</si>
  <si>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</si>
  <si>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</si>
  <si>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</si>
  <si>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</si>
  <si>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</si>
  <si>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</si>
  <si>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</si>
  <si>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</si>
  <si>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</si>
  <si>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</si>
  <si>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</si>
  <si>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</si>
  <si>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</si>
  <si>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</si>
  <si>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</si>
  <si>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</si>
  <si>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</si>
  <si>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</si>
  <si>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</si>
  <si>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</si>
  <si>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</si>
  <si>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</si>
  <si>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</si>
  <si>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</si>
  <si>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</si>
  <si>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</si>
  <si>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</si>
  <si>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</si>
  <si>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</si>
  <si>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</si>
  <si>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</si>
  <si>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</si>
  <si>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</si>
  <si>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</si>
  <si>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</si>
  <si>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</si>
  <si>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</si>
  <si>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</si>
  <si>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</si>
  <si>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</si>
  <si>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</si>
  <si>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</si>
  <si>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</si>
  <si>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</si>
  <si>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</si>
  <si>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</si>
  <si>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</si>
  <si>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</si>
  <si>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</si>
  <si>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</si>
  <si>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</si>
  <si>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</si>
  <si>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</si>
  <si>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</si>
  <si>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</si>
  <si>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</si>
  <si>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</si>
  <si>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</si>
  <si>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</si>
  <si>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</si>
  <si>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</si>
  <si>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</si>
  <si>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</si>
  <si>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</si>
  <si>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</si>
  <si>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</si>
  <si>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</si>
  <si>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</si>
  <si>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</si>
  <si>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</si>
  <si>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</si>
  <si>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</si>
  <si>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</si>
  <si>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</si>
  <si>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</si>
  <si>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</si>
  <si>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</si>
  <si>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</si>
  <si>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</si>
  <si>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</si>
  <si>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</si>
  <si>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</si>
  <si>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</si>
  <si>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</si>
  <si>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</si>
  <si>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</si>
  <si>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</si>
  <si>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</si>
  <si>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</si>
  <si>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</si>
  <si>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</si>
  <si>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</si>
  <si>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</si>
  <si>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</si>
  <si>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</si>
  <si>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</si>
  <si>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</si>
  <si>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</si>
  <si>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</si>
  <si>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</si>
  <si>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</si>
  <si>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</si>
  <si>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</si>
  <si>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</si>
  <si>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</si>
  <si>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</si>
  <si>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</si>
  <si>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</si>
  <si>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</si>
  <si>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</si>
  <si>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</si>
  <si>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</si>
  <si>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</si>
  <si>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</si>
  <si>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</si>
  <si>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</si>
  <si>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</si>
  <si>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</si>
  <si>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</si>
  <si>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</si>
  <si>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</si>
  <si>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</si>
  <si>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</si>
  <si>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</si>
  <si>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</si>
  <si>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</si>
  <si>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</si>
  <si>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</si>
  <si>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</si>
  <si>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</si>
  <si>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</si>
  <si>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</si>
  <si>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</si>
  <si>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</si>
  <si>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</si>
  <si>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</si>
  <si>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</si>
  <si>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</si>
  <si>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</si>
  <si>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</si>
  <si>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</si>
  <si>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</si>
  <si>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</si>
  <si>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</si>
  <si>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</si>
  <si>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</si>
  <si>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</si>
  <si>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</si>
  <si>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</si>
  <si>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</si>
  <si>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</si>
  <si>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</si>
  <si>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</si>
  <si>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</si>
  <si>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</si>
  <si>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</si>
  <si>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</si>
  <si>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</si>
  <si>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</si>
  <si>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</si>
  <si>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</si>
  <si>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</si>
  <si>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</si>
  <si>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</si>
  <si>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</si>
  <si>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</si>
  <si>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</si>
  <si>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</si>
  <si>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</si>
  <si>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</si>
  <si>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</si>
  <si>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</si>
  <si>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</si>
  <si>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</si>
  <si>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</si>
  <si>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</si>
  <si>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</si>
  <si>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</si>
  <si>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</si>
  <si>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</si>
  <si>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</si>
  <si>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</si>
  <si>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</si>
  <si>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</si>
  <si>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</si>
  <si>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</si>
  <si>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</si>
  <si>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</si>
  <si>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</si>
  <si>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</si>
  <si>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</si>
  <si>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</si>
  <si>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</si>
  <si>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</si>
  <si>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</si>
  <si>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</si>
  <si>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</si>
  <si>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</si>
  <si>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</si>
  <si>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</si>
  <si>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</si>
  <si>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</si>
  <si>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</si>
  <si>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</si>
  <si>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</si>
  <si>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</si>
  <si>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</si>
  <si>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</si>
  <si>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</si>
  <si>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</si>
  <si>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</si>
  <si>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</si>
  <si>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</si>
  <si>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</si>
  <si>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</si>
  <si>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</si>
  <si>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</si>
  <si>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</si>
  <si>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</si>
  <si>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</si>
  <si>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</si>
  <si>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</si>
  <si>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</si>
  <si>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</si>
  <si>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</si>
  <si>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</si>
  <si>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</si>
  <si>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</si>
  <si>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</si>
  <si>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</si>
  <si>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</si>
  <si>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</si>
  <si>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</si>
  <si>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</si>
  <si>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</si>
  <si>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</si>
  <si>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</si>
  <si>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</si>
  <si>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</si>
  <si>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</si>
  <si>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</si>
  <si>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</si>
  <si>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</si>
  <si>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</si>
  <si>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</si>
  <si>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</si>
  <si>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</si>
  <si>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</si>
  <si>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</si>
  <si>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</si>
  <si>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</si>
  <si>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</si>
  <si>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</si>
  <si>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</si>
  <si>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</si>
  <si>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</si>
  <si>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</si>
  <si>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</si>
  <si>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</si>
  <si>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</si>
  <si>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</si>
  <si>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</si>
  <si>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</si>
  <si>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</si>
  <si>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</si>
  <si>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</si>
  <si>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</si>
  <si>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</si>
  <si>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</si>
  <si>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</si>
  <si>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</si>
  <si>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</si>
  <si>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</si>
  <si>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</si>
  <si>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</si>
  <si>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</si>
  <si>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</si>
  <si>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</si>
  <si>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</si>
  <si>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</si>
  <si>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</si>
  <si>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</si>
  <si>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</si>
  <si>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</si>
  <si>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</si>
  <si>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</si>
  <si>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</si>
  <si>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</si>
  <si>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</si>
  <si>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</si>
  <si>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</si>
  <si>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</si>
  <si>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</si>
  <si>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</si>
  <si>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</si>
  <si>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</si>
  <si>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</si>
  <si>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</si>
  <si>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</si>
  <si>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</si>
  <si>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</si>
  <si>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</si>
  <si>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</si>
  <si>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</si>
  <si>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</si>
  <si>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</si>
  <si>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</si>
  <si>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</si>
  <si>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</si>
  <si>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</si>
  <si>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</si>
  <si>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</si>
  <si>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</si>
  <si>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</si>
  <si>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</si>
  <si>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</si>
  <si>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</si>
  <si>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</si>
  <si>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</si>
  <si>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</si>
  <si>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</si>
  <si>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</si>
  <si>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</si>
  <si>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</si>
  <si>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</si>
  <si>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</si>
  <si>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</si>
  <si>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</si>
  <si>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</si>
  <si>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</si>
  <si>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</si>
  <si>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</si>
  <si>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</si>
  <si>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</si>
  <si>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</si>
  <si>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</si>
  <si>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</si>
  <si>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</si>
  <si>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</si>
  <si>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</si>
  <si>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</si>
  <si>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</si>
  <si>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</si>
  <si>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</si>
  <si>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</si>
  <si>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</si>
  <si>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</si>
  <si>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</si>
  <si>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</si>
  <si>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</si>
  <si>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</si>
  <si>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</si>
  <si>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</si>
  <si>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</si>
  <si>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</si>
  <si>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</si>
  <si>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</si>
  <si>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</si>
  <si>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</si>
  <si>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</si>
  <si>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</si>
  <si>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</si>
  <si>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</si>
  <si>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</si>
  <si>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</si>
  <si>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</si>
  <si>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</si>
  <si>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</si>
  <si>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</si>
  <si>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</si>
  <si>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</si>
  <si>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</si>
  <si>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</si>
  <si>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</si>
  <si>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</si>
  <si>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</si>
  <si>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</si>
  <si>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</si>
  <si>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</si>
  <si>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</si>
  <si>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</si>
  <si>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</si>
  <si>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</si>
  <si>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</si>
  <si>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</si>
  <si>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</si>
  <si>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</si>
  <si>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</si>
  <si>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</si>
  <si>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</si>
  <si>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</si>
  <si>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</si>
  <si>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</si>
  <si>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</si>
  <si>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</si>
  <si>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</si>
  <si>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</si>
  <si>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</si>
  <si>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</si>
  <si>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</si>
  <si>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</si>
  <si>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</si>
  <si>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</si>
  <si>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</si>
  <si>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</si>
  <si>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</si>
  <si>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</si>
  <si>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</si>
  <si>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</si>
  <si>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</si>
  <si>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</si>
  <si>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</si>
  <si>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</si>
  <si>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</si>
  <si>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</si>
  <si>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</si>
  <si>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</si>
  <si>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</si>
  <si>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</si>
  <si>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</si>
  <si>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</si>
  <si>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</si>
  <si>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</si>
  <si>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</si>
  <si>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</si>
  <si>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</si>
  <si>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</si>
  <si>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</si>
  <si>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</si>
  <si>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</si>
  <si>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</si>
  <si>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</si>
  <si>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</si>
  <si>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</si>
  <si>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 xml:space="preserve">Desarrollar  estrategias  que  permitan  captar  estudiantes  de  bachillerato con altos puntajes en las pruebas de Estado Saber 11 o las que estén vigentes, especialmente de los sectores vulnerables. </t>
  </si>
  <si>
    <t xml:space="preserve">Visitar instituciones de educación media localizadas en sectores vulnerables para captar los mejores estudiantes en las pruebas Saber 11. </t>
  </si>
  <si>
    <t xml:space="preserve">1 visita guiada para estudiantes destacados </t>
  </si>
  <si>
    <t>Establecer estímulos para excelencia estudiantil en movilidad e intercambio.</t>
  </si>
  <si>
    <t xml:space="preserve">Identificar los estímulos para la excelencia estudiantil en movilidad e intercambio </t>
  </si>
  <si>
    <t>Proponer un nuevo plan de incentivos en movilidad e intercambio</t>
  </si>
  <si>
    <t>Realizar ____ visitas tecnicas</t>
  </si>
  <si>
    <t>Pasajes Terrestre</t>
  </si>
  <si>
    <t>Pago poliza estudiantil para los semestres 2020-1 y 2020-2</t>
  </si>
  <si>
    <t>Pago ARL estudiantes de practicas</t>
  </si>
  <si>
    <t>Adelantar los procesos de autoevaluación con fines de acreditación de alta calidad de los programas que cumplan con los requisitos y condiciones iniciales</t>
  </si>
  <si>
    <t>Identificación y verificación de programas de pregrado y posgrado que cumplan con requisitos y condiciones iniciales.</t>
  </si>
  <si>
    <t>Instalación de los comités de autoevaluación e implementación de los procesos de autoevaluación a nivel institucional y de facultad, con fines de acreditación y renovación de acreditación</t>
  </si>
  <si>
    <t xml:space="preserve">Consolidar los procesos de autoevaluación con fines de acreditación y re-acreditación institucional.
</t>
  </si>
  <si>
    <t xml:space="preserve"> Estructurar e implementar el Sistema de Aseguramiento de la calidad académica "Camino a la Excelencia"</t>
  </si>
  <si>
    <t xml:space="preserve">Promover la participación en el Comité Institucional de Acreditación de los representantes de los estamentos </t>
  </si>
  <si>
    <t xml:space="preserve">Garantizar que los proyectos educativos de los programas estén enfocados en la formación por competencias.
</t>
  </si>
  <si>
    <t>Realizar capacitación en formación y evaluación por competencias y en la implementación del modelo pedagógico vigente</t>
  </si>
  <si>
    <t>Desarrollar talleres de implementacion del modelo pedagógico vigente</t>
  </si>
  <si>
    <t>Aplicar  metodologías  innovadoras de gestión del conocimiento y gestión educativa en los procesos de formación.</t>
  </si>
  <si>
    <t>Realizar capacitación en el diseño e implementación de herramientas pedagógicas innovadoras en el contexto de aula</t>
  </si>
  <si>
    <t>Fomentar el desarrollo de metodologías pedagógicas innovadoras en el contexto de aula y su socialización entre los docentes.</t>
  </si>
  <si>
    <t>Adelantar permanentemente revisiones y actualizaciones a las políticas y reglamentos institucionales acorde a las tendencias y desarrollos en educación superior.</t>
  </si>
  <si>
    <t>Solicitar la formalización  de los comités de currículo de los programas académicos</t>
  </si>
  <si>
    <t>Socialización del Reglamento Docente ajustado y sus herramientas de evaluación</t>
  </si>
  <si>
    <t xml:space="preserve">Fortalecer los controles y seguimientos a los planes de mejora, resultantes de los procesos de autoevaluación  </t>
  </si>
  <si>
    <t>Actualizar y socializar los planes de mejoramiento y mantenimiento de los programas acreditados</t>
  </si>
  <si>
    <t xml:space="preserve">Realizar seguimientos semestrales a los diferentes planes de mejoramiento y mantenimiento </t>
  </si>
  <si>
    <t xml:space="preserve">Establecer  planes  de  mantenimiento  tendientes  a  la  plena  utilización  y funcionamiento de los equipos, redes, software y hardware, entre otros.          </t>
  </si>
  <si>
    <t>Incrementar el uso y aprovechamiento masivo de los recursos bibliográficos y de laboratorio</t>
  </si>
  <si>
    <t>Sugerir a los decanos y directores de programa de cada una de las facultades la compra de material bibliográfico, publicaciones y bases de datos de acuerdo con la plantilla de control llevada por la Dirección de la Biblioteca.</t>
  </si>
  <si>
    <t>Recomendar a los Decanos y Directores de Programa de cada una de las facultades, la adquisición de copias adicionales de aquellos títulos que cuenten con una solo ejemplar, que tengan alto índice de consulta.</t>
  </si>
  <si>
    <t>Sugerir implementos de dotación de  laboratorios que respondan a las necesidades y exigencias pedagógicas e investigativas</t>
  </si>
  <si>
    <t>Mantenimiento preventivo y o correctivo de los equipos de laboratorios tanto para ingeniería como enfermería</t>
  </si>
  <si>
    <t>Seguimiento y renovación  de recursos bibliográficos físicos y virtuales</t>
  </si>
  <si>
    <t>Renovacion software _______________</t>
  </si>
  <si>
    <t>Adquisicion software _______________</t>
  </si>
  <si>
    <t>Pago de bases de datos propias</t>
  </si>
  <si>
    <t>Pago de bases de datos interdisciplinaciras</t>
  </si>
  <si>
    <t>Pago de suscripcion periodicos y revistas</t>
  </si>
  <si>
    <t>Compra de libros para biblioteca</t>
  </si>
  <si>
    <t>El laboratorio tiene un Manual o Plan de gestión integral para el manejo de los residuos generados en sus diferentes secciones y áreas de trabajo ajustado a su grado de complejidad y de acuerdo a la normatividad vigente</t>
  </si>
  <si>
    <t>Participar en capacitaciones y/o talleres en temas de interés en Salud Pública</t>
  </si>
  <si>
    <t>Documentar las hojas de vida de equipos con datos de identificación, referencia, e historial de los mantenimientos
realizados.</t>
  </si>
  <si>
    <t>A mediano plazo tenerr la construcción de la planta física del laboratorio cumpliendo las especificaciones de la norma vigente en sismo resistencia y de construcción de acuerdo a lo
estipulado por el Misterio de Salud y Protección Social.</t>
  </si>
  <si>
    <t>Participar en la evaluación técnica que se realiza para la compra de insumos, reactivos, materiales y equipos necesarios para su funcionamiento en los dos laboratorios</t>
  </si>
  <si>
    <t xml:space="preserve">Desde la coordinación del laboratorio de ingenierías y enfermería desarrollar las actividades necesarias para garantizar que la totalidad del recurso humano que ingresa en el laboratorio conoce, comprende e implementa los procesos, programas, procedimientos y documentación del SGC </t>
  </si>
  <si>
    <t>Fortalecer las líneas y grupos de investigación en consonancia con las exigencias y potencialidades de la región, el país y el mundo.</t>
  </si>
  <si>
    <t xml:space="preserve">Consolidar el proceso de redireccionamiento y alineamiento estratégico de la investigación en la seccional y revisión y actualización de las líneas de investigaciones de la seccional, en consonancia con la oferta de los programas académicos, que den respúesta a las necesidades del contexto local y  nacional, </t>
  </si>
  <si>
    <t>Recategorizar los grupos de investigación que actualmente se encuentran categorizados en COLCIENCIAS.</t>
  </si>
  <si>
    <t>Fomentar la categorización de los investigadores de acuerdo a ls exigencias COLCIENCIAS.</t>
  </si>
  <si>
    <t>Fortalecer la investigación básica y aplicada.                                                                                                             Mejorar la capacidad institucional para la cooperación, el trabajo en alianzas y la participación en redes académicas y científicas inter-seccionales, nacionales e internacionales.</t>
  </si>
  <si>
    <t>Formular y ejecutar el plan y capacitación para docentes, estudiantes e investigadores.</t>
  </si>
  <si>
    <t>Fomentar la participación de docentes investigadores en redes nacionales e internacionales.</t>
  </si>
  <si>
    <t>Fomentar la participación en convocatorias nacionales e internacionales de proyectos de investigación, como fuente de fianciación de la investigación</t>
  </si>
  <si>
    <t>Apoyar la movilidad de los docentes investigadores a partir de las ponencias realizadas en eventos, locales, nacionales e internacionales, para visibilizar los resultados de la investigación multicampus.</t>
  </si>
  <si>
    <t>Realizar un evento para fomentar y visibilizar los resultados de la investigación.</t>
  </si>
  <si>
    <t>Generar planes y programas nacionales de formación investigativa</t>
  </si>
  <si>
    <t>Generar una estrategia conjunta entre la Dirección Seccional de Investigaciones y el Sistema de Gestión de Calidad que facilite la evaluación permanente del trabajo de investigación.</t>
  </si>
  <si>
    <t>Fomentar la participación de la investigación formativa en eventos que deriven de las redes de investigación locales, regionales, nacionales e internacionales.</t>
  </si>
  <si>
    <t>Fortalecer los semilleros de investigación</t>
  </si>
  <si>
    <t>Fomentar la participación de los semilleros de investigación en  redes, congresos, simposios y otros</t>
  </si>
  <si>
    <t>Participación  en convocatoria de Colciencias para jóvenes investigadores</t>
  </si>
  <si>
    <t>Establecer recursos para el patrocinio en movilidad docente y estudiantil, con el fin de desarrollar pasantías, prácticas, participación en eventos, desarrollo de estudios y actividades de investigación, entre otros</t>
  </si>
  <si>
    <t>Promover la movilidad docente y estudiantil desde y hacia la seccional Pereira en todas las modalidades y de forma presencial o virtual.</t>
  </si>
  <si>
    <t>Publicidad</t>
  </si>
  <si>
    <t>Autoridades Nacionales</t>
  </si>
  <si>
    <t>Industria y Comercio</t>
  </si>
  <si>
    <t>Fondo de estabilidad ICETEX</t>
  </si>
  <si>
    <t>Aseo</t>
  </si>
  <si>
    <t>Acueducto y Alcantarillado</t>
  </si>
  <si>
    <t>Energía Eléctrica</t>
  </si>
  <si>
    <t>Teléfono</t>
  </si>
  <si>
    <t>Telefonos Celulares</t>
  </si>
  <si>
    <t>Correo, Portes y Telegramas</t>
  </si>
  <si>
    <t>Utiles, Papeleria Y Fotocopias</t>
  </si>
  <si>
    <t>Internet</t>
  </si>
  <si>
    <t>Seguridad Universidad</t>
  </si>
  <si>
    <t>Aseo empresa temporal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</si>
  <si>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</si>
  <si>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</si>
  <si>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</si>
  <si>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</si>
  <si>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</si>
  <si>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</si>
  <si>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</si>
  <si>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</si>
  <si>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</si>
  <si>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</si>
  <si>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</si>
  <si>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</si>
  <si>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</si>
  <si>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</si>
  <si>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</si>
  <si>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</si>
  <si>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</si>
  <si>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</si>
  <si>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</si>
  <si>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</si>
  <si>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</si>
  <si>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</si>
  <si>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</si>
  <si>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</si>
  <si>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</si>
  <si>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</si>
  <si>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</si>
  <si>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</si>
  <si>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</si>
  <si>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</si>
  <si>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</si>
  <si>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</si>
  <si>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</si>
  <si>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</si>
  <si>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</si>
  <si>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</si>
  <si>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</si>
  <si>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</si>
  <si>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</si>
  <si>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</si>
  <si>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</si>
  <si>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</si>
  <si>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</si>
  <si>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</si>
  <si>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</si>
  <si>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</si>
  <si>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</si>
  <si>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</si>
  <si>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</si>
  <si>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</si>
  <si>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</si>
  <si>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</si>
  <si>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</si>
  <si>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</si>
  <si>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</si>
  <si>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INFORMACIÓN GENERAL VALORES PARA PRESUPUESTO</t>
  </si>
  <si>
    <t>INFORMACION GENERAL DE LA ESPECIALIZACIÓN</t>
  </si>
  <si>
    <t>Fecha Máxima Prorrateo</t>
  </si>
  <si>
    <t>NOMBRE ESPECIALIZACIÓN:</t>
  </si>
  <si>
    <t>Fecha Fin Período Académico</t>
  </si>
  <si>
    <t>VALOR HORA HONORARIOS DOCENTES</t>
  </si>
  <si>
    <t>FECHA APROXIMADA DE INICIO:</t>
  </si>
  <si>
    <t>(día/mes/año)</t>
  </si>
  <si>
    <t>Fecha Máxima 2 Semestres</t>
  </si>
  <si>
    <t>VALOR MENSUAL COORDINACIÓN</t>
  </si>
  <si>
    <t>FACULTAD ENCARGADA:</t>
  </si>
  <si>
    <t>Mes Inicial Prorrateo</t>
  </si>
  <si>
    <t>PASAJES AEREOS</t>
  </si>
  <si>
    <t>INTENSIDAD HORARIA TOTAL</t>
  </si>
  <si>
    <t>Horas Presenciales y Asesoría</t>
  </si>
  <si>
    <t>Mes Final Prorrateo</t>
  </si>
  <si>
    <t>ALOJAMIENTO</t>
  </si>
  <si>
    <t>Meses a Prorratear</t>
  </si>
  <si>
    <t>VIATICOS</t>
  </si>
  <si>
    <t>ESTUDIANTES PRESUPUESTADOS</t>
  </si>
  <si>
    <t>Estudiantes</t>
  </si>
  <si>
    <t>EGRESADOS</t>
  </si>
  <si>
    <t>VALOR MATRICULA</t>
  </si>
  <si>
    <t>Pesos</t>
  </si>
  <si>
    <t>VALOR INSCRIPCIÓN</t>
  </si>
  <si>
    <t>VALOR DERECHOS DE GRADO</t>
  </si>
  <si>
    <t>AUMENTO AÑO 2020</t>
  </si>
  <si>
    <t>CLASE</t>
  </si>
  <si>
    <t>No. CLASE</t>
  </si>
  <si>
    <t>GRUPO</t>
  </si>
  <si>
    <t>No. GRUPO</t>
  </si>
  <si>
    <t>PROYEC.</t>
  </si>
  <si>
    <t>NOM PROYEC</t>
  </si>
  <si>
    <t>C.C.</t>
  </si>
  <si>
    <t>NOM C.C.</t>
  </si>
  <si>
    <t>AREA</t>
  </si>
  <si>
    <t>NOM AREA</t>
  </si>
  <si>
    <t>Cuenta</t>
  </si>
  <si>
    <t xml:space="preserve">Cuenta </t>
  </si>
  <si>
    <t>INGRESOS OP</t>
  </si>
  <si>
    <t>Ingresos Posgrados</t>
  </si>
  <si>
    <t>INGRESOS OPERACIONALES</t>
  </si>
  <si>
    <t>DOCENCIA</t>
  </si>
  <si>
    <t>4160120101</t>
  </si>
  <si>
    <t>Inscripciones y Formularios</t>
  </si>
  <si>
    <t>4160120102</t>
  </si>
  <si>
    <t>Matriculas</t>
  </si>
  <si>
    <t>4160120103</t>
  </si>
  <si>
    <t>Extemporaneidad</t>
  </si>
  <si>
    <t>4160120202</t>
  </si>
  <si>
    <t>Certicados, Constancias y Progr Académic</t>
  </si>
  <si>
    <t>4160120203</t>
  </si>
  <si>
    <t>Copia de Diploma-Actas Grado</t>
  </si>
  <si>
    <t>4160120205</t>
  </si>
  <si>
    <t>Derechos de Grado</t>
  </si>
  <si>
    <t>Devoluciones, Rebajas y Descuentos Posgrados</t>
  </si>
  <si>
    <t>4175020704</t>
  </si>
  <si>
    <t>Becas Convencionales-Asproul</t>
  </si>
  <si>
    <t>4175030701</t>
  </si>
  <si>
    <t>Descuentos por Egresados</t>
  </si>
  <si>
    <t>BECAS Y DESCUENTOS UNIVERSIDAD</t>
  </si>
  <si>
    <t>INGRESOS NO OP</t>
  </si>
  <si>
    <t>Ingresos No Operacionales</t>
  </si>
  <si>
    <t>4210050103</t>
  </si>
  <si>
    <t>Intereses Deuda Estudiantil</t>
  </si>
  <si>
    <t>4210550101</t>
  </si>
  <si>
    <t>Multas y Recargos</t>
  </si>
  <si>
    <t>4175020703</t>
  </si>
  <si>
    <t>4175020713</t>
  </si>
  <si>
    <t>Becas Beneficiario - ASPROUL</t>
  </si>
  <si>
    <t>4175020712</t>
  </si>
  <si>
    <t>Becas Beneficiario - SINTIES</t>
  </si>
  <si>
    <t>4175020705</t>
  </si>
  <si>
    <t>Becas Convencionales-Sinties</t>
  </si>
  <si>
    <t>GASTOS ACADEMIA</t>
  </si>
  <si>
    <t>Posgrados sueldos</t>
  </si>
  <si>
    <t>GASTOS DE ADMINISTRACION Y ACADEMICOS</t>
  </si>
  <si>
    <t>6209020101</t>
  </si>
  <si>
    <t>Docentes</t>
  </si>
  <si>
    <t>6209030102</t>
  </si>
  <si>
    <t>Bonificacione - Docentes Posgrados</t>
  </si>
  <si>
    <t>6209030302</t>
  </si>
  <si>
    <t>ADMINISTRACION ACADEMICA</t>
  </si>
  <si>
    <t>Posgrado publicidad</t>
  </si>
  <si>
    <t>6209020303</t>
  </si>
  <si>
    <t>Publicidad Y Propaganda</t>
  </si>
  <si>
    <t>Posgrado servicios publicos</t>
  </si>
  <si>
    <t>6209020401</t>
  </si>
  <si>
    <t>6209020402</t>
  </si>
  <si>
    <t>6209020403</t>
  </si>
  <si>
    <t>Energia Electrica</t>
  </si>
  <si>
    <t>6209020404</t>
  </si>
  <si>
    <t>Telefono</t>
  </si>
  <si>
    <t>6209020405</t>
  </si>
  <si>
    <t>Telefono Celular</t>
  </si>
  <si>
    <t>Posgrado gastos de viaje</t>
  </si>
  <si>
    <t>6209020501</t>
  </si>
  <si>
    <t>Alojamiento Y Manutencion - Viaticos</t>
  </si>
  <si>
    <t>6209020503</t>
  </si>
  <si>
    <t>Pasajes Aereos</t>
  </si>
  <si>
    <t>6209020505</t>
  </si>
  <si>
    <t>Pasajaes Terrestres</t>
  </si>
  <si>
    <t>Posgrado seguros</t>
  </si>
  <si>
    <t>6209020808</t>
  </si>
  <si>
    <t>Poliza Estudiantil</t>
  </si>
  <si>
    <t>Posgrado otros gastos</t>
  </si>
  <si>
    <t>6209021001</t>
  </si>
  <si>
    <t>Correo Porte y Telegramas</t>
  </si>
  <si>
    <t>6209022001</t>
  </si>
  <si>
    <t>Utiles Papeleria y Fotocopias</t>
  </si>
  <si>
    <t>Posgrado impuestos</t>
  </si>
  <si>
    <t>6209080103</t>
  </si>
  <si>
    <t>Propiedad Raiz</t>
  </si>
  <si>
    <t>6209080101</t>
  </si>
  <si>
    <t>Investigaciones sueldos</t>
  </si>
  <si>
    <t>INVESTIGACION</t>
  </si>
  <si>
    <t>6210020101</t>
  </si>
  <si>
    <t>GASTOS NO OP</t>
  </si>
  <si>
    <t>Otros gastos aportes autoridades</t>
  </si>
  <si>
    <t>5395959501</t>
  </si>
  <si>
    <t>Aportes a autoridades nacionales</t>
  </si>
  <si>
    <t>INVERSIONES</t>
  </si>
  <si>
    <t>1528050101</t>
  </si>
  <si>
    <t>Equipos Por Procesamiento de Datos</t>
  </si>
  <si>
    <t>6209021104</t>
  </si>
  <si>
    <t>Suscripiones en Bases de Datos</t>
  </si>
  <si>
    <t>Vigilancia</t>
  </si>
  <si>
    <t>G</t>
  </si>
  <si>
    <t>H</t>
  </si>
  <si>
    <t>I</t>
  </si>
  <si>
    <t>K</t>
  </si>
  <si>
    <t>L</t>
  </si>
  <si>
    <t>P</t>
  </si>
  <si>
    <t>HORAS A DICTAR AÑO 2020</t>
  </si>
  <si>
    <t>FINES DE SEMANA A DICTAR AÑO 2020</t>
  </si>
  <si>
    <t>Valor</t>
  </si>
  <si>
    <t>Coordinador</t>
  </si>
  <si>
    <t>Docente Sin vinculo laboral</t>
  </si>
  <si>
    <t>Bonificacion TC</t>
  </si>
  <si>
    <t>Bonificacion MT</t>
  </si>
  <si>
    <t>Bonificacion Catedratico</t>
  </si>
  <si>
    <t>Investigador sin vinculo laboral</t>
  </si>
  <si>
    <t>Bonificacion Inves TC</t>
  </si>
  <si>
    <t>Inversion Posgra</t>
  </si>
  <si>
    <t xml:space="preserve">(Arrend.) Acueductos Plantas y Redes   </t>
  </si>
  <si>
    <t xml:space="preserve">(Arrend.) Construcciones Y Edificaciones   </t>
  </si>
  <si>
    <t xml:space="preserve">(Arrend.) De Terrenos   </t>
  </si>
  <si>
    <t xml:space="preserve">(Arrend.) Equipo de Computo   </t>
  </si>
  <si>
    <t xml:space="preserve">(Arrend.) Equipo Medico y de Laboratorio   </t>
  </si>
  <si>
    <t xml:space="preserve">(Arrend.) Flota y Equipo de Transporte   </t>
  </si>
  <si>
    <t xml:space="preserve">(Arrend.) Maquinaria y Equipo   </t>
  </si>
  <si>
    <t xml:space="preserve">(Arrend.) Muebles y Equipo de Oficina   </t>
  </si>
  <si>
    <t xml:space="preserve">(Arrend.) Otros Arrendamientos   </t>
  </si>
  <si>
    <t xml:space="preserve">(Arrend.) Telecomunicaciones Y Radio   </t>
  </si>
  <si>
    <t xml:space="preserve">(becas autoridades) Becas Consiliatura   </t>
  </si>
  <si>
    <t xml:space="preserve">(becas autoridades) Becas Sala General   </t>
  </si>
  <si>
    <t xml:space="preserve">(becas autoridades) Becas Sinties Beneficiario Intersecciona   </t>
  </si>
  <si>
    <t xml:space="preserve">(becas sinties beneficiario intersecciona) Capacitacion a Docentes   </t>
  </si>
  <si>
    <t xml:space="preserve">(becas sinties beneficiario intersecciona) Temporales   </t>
  </si>
  <si>
    <t xml:space="preserve">(capacit bienestar social y estimulos) Becas Sinties Beneficiario Intersecciona   </t>
  </si>
  <si>
    <t xml:space="preserve">(capacit bienestar social y estimulos) Capacitacion Personal Administrativo   </t>
  </si>
  <si>
    <t xml:space="preserve">(capacitacion a docentes) Gastos de Representacion   </t>
  </si>
  <si>
    <t xml:space="preserve">(contri y afi) Afiliaciones Y Sostenimiento   </t>
  </si>
  <si>
    <t xml:space="preserve">(contri y afi) Contribuciones   </t>
  </si>
  <si>
    <t xml:space="preserve">(docentes sin vinculo laboral) Docentes   </t>
  </si>
  <si>
    <t xml:space="preserve">(eventos culturales) Actividades Culturales y Cívicas   </t>
  </si>
  <si>
    <t xml:space="preserve">(eventos culturales) Actividades Deportivas   </t>
  </si>
  <si>
    <t xml:space="preserve">(eventos culturales) Eventos Especiales Y Celebraciones   </t>
  </si>
  <si>
    <t xml:space="preserve">(eventos culturales) Gastos Ceremoniales de Grado   </t>
  </si>
  <si>
    <t xml:space="preserve">(fotocopias y papeleria) Diplomas   </t>
  </si>
  <si>
    <t xml:space="preserve">(fotocopias y papeleria) Utiles Papeleria y Fotocopias   </t>
  </si>
  <si>
    <t xml:space="preserve">(gastos convenios) Gastos Convenios   </t>
  </si>
  <si>
    <t xml:space="preserve">(Gtos de Viaje) Alojamiento Y Manutencion - Viaticos   </t>
  </si>
  <si>
    <t xml:space="preserve">(Gtos de Viaje) Pasajaes Terrestres   </t>
  </si>
  <si>
    <t xml:space="preserve">(Gtos de Viaje) Pasajes Aereos   </t>
  </si>
  <si>
    <t xml:space="preserve">(gtos legales) Notariales   </t>
  </si>
  <si>
    <t xml:space="preserve">(gtos legales) Tramites y Licencias   </t>
  </si>
  <si>
    <t xml:space="preserve">(Hon) Asesoria Financiera   </t>
  </si>
  <si>
    <t xml:space="preserve">(Hon) Asesoria Juridica   </t>
  </si>
  <si>
    <t xml:space="preserve">(Hon) Asesoria Técnica   </t>
  </si>
  <si>
    <t xml:space="preserve">(Imptos) Estampillas Pro Hospital Universitario   </t>
  </si>
  <si>
    <t xml:space="preserve">(Imptos) Estampillas Procultura   </t>
  </si>
  <si>
    <t xml:space="preserve">(Imptos) Estampillas Pro-Dot y Des Tercera Edad   </t>
  </si>
  <si>
    <t xml:space="preserve">(Imptos) Industria y Comercio   </t>
  </si>
  <si>
    <t xml:space="preserve">(Imptos) Propiedad Raiz   </t>
  </si>
  <si>
    <t xml:space="preserve">(Imptos) Timbres   </t>
  </si>
  <si>
    <t xml:space="preserve">(Imptos) Valorizacion   </t>
  </si>
  <si>
    <t xml:space="preserve">(Imptos) Vehiculos   </t>
  </si>
  <si>
    <t xml:space="preserve">(inversiones) Activos menores (2) Salarios minimos   </t>
  </si>
  <si>
    <t xml:space="preserve">(Mante. y Repa) Acueductos Plantas y Redes   </t>
  </si>
  <si>
    <t xml:space="preserve">(Mante. y Repa) Arreglos Ornamentales   </t>
  </si>
  <si>
    <t xml:space="preserve">(Mante. y Repa) Construcciones Y Edificaciones   </t>
  </si>
  <si>
    <t xml:space="preserve">(Mante. y Repa) De Terrenos   </t>
  </si>
  <si>
    <t xml:space="preserve">(Mante. y Repa) Equipo de Computo   </t>
  </si>
  <si>
    <t xml:space="preserve">(Mante. y Repa) Equipo Medico y de Laboratorio   </t>
  </si>
  <si>
    <t xml:space="preserve">(Mante. y Repa) Flota y Equipo de Transporte   </t>
  </si>
  <si>
    <t xml:space="preserve">(Mante. y Repa) Maquinaria y Equipo   </t>
  </si>
  <si>
    <t xml:space="preserve">(Mante. y Repa) Muebles y Equipo de Oficina   </t>
  </si>
  <si>
    <t xml:space="preserve">(Mante. y Repa) Otros Mantenimientos y Reparaciones   </t>
  </si>
  <si>
    <t xml:space="preserve">(Mante. y Repa) Repaciones Locativas   </t>
  </si>
  <si>
    <t xml:space="preserve">(Mante. y Repa) Telecomunicaciones Y Radio   </t>
  </si>
  <si>
    <t xml:space="preserve">(Materia y Sumi) Armamento De Vigilancia   </t>
  </si>
  <si>
    <t xml:space="preserve">(Materia y Sumi) Banderas Y Escudos   </t>
  </si>
  <si>
    <t xml:space="preserve">(Materia y Sumi) Elementos de Computador Y Telecomunicaio   </t>
  </si>
  <si>
    <t xml:space="preserve">(Materia y Sumi) Elementos de Ferreteria   </t>
  </si>
  <si>
    <t xml:space="preserve">(Materia y Sumi) Elementos de Fotografia Y Audiovisuales   </t>
  </si>
  <si>
    <t xml:space="preserve">(Materia y Sumi) Elementos de Imprenta   </t>
  </si>
  <si>
    <t xml:space="preserve">(Materia y Sumi) Elementos de Lenceria Y Roperia   </t>
  </si>
  <si>
    <t xml:space="preserve">(Materia y Sumi) Elementos Electricos Y Electronicos   </t>
  </si>
  <si>
    <t xml:space="preserve">(Materia y Sumi) Emvases y Empaques   </t>
  </si>
  <si>
    <t xml:space="preserve">(Materia y Sumi) Herramientas   </t>
  </si>
  <si>
    <t xml:space="preserve">(Materia y Sumi) Repuestos en General   </t>
  </si>
  <si>
    <t xml:space="preserve">(gtos generales) Combustibles y lubricantes   </t>
  </si>
  <si>
    <t xml:space="preserve">(gtos generales) Correo Porte y Telegramas   </t>
  </si>
  <si>
    <t xml:space="preserve">(gtos generales) Fondo de Sostenibilidad Icetex   </t>
  </si>
  <si>
    <t xml:space="preserve">(gtos generales) Gastos Funebres   </t>
  </si>
  <si>
    <t xml:space="preserve">(gtos generales) Gastos Medicos y Drogas   </t>
  </si>
  <si>
    <t xml:space="preserve">(gtos generales) Obsequios Premios y Distinciones   </t>
  </si>
  <si>
    <t xml:space="preserve">(gtos generales) Parqueaderos   </t>
  </si>
  <si>
    <t xml:space="preserve">(gtos generales) Taxis y Buses   </t>
  </si>
  <si>
    <t xml:space="preserve">(seguridad industrial) Seguridad Induatrial y Señalizaciones   </t>
  </si>
  <si>
    <t xml:space="preserve">(seguros) Corriente Debil   </t>
  </si>
  <si>
    <t xml:space="preserve">(seguros) Cumplimiento   </t>
  </si>
  <si>
    <t xml:space="preserve">(seguros) Flota y Equipo de Transporte   </t>
  </si>
  <si>
    <t xml:space="preserve">(seguros) Incendio   </t>
  </si>
  <si>
    <t xml:space="preserve">(seguros) Lucro Cesante   </t>
  </si>
  <si>
    <t xml:space="preserve">(seguros) Manejo   </t>
  </si>
  <si>
    <t xml:space="preserve">(seguros) Obligatorio de Accidente   </t>
  </si>
  <si>
    <t xml:space="preserve">(seguros) Otros Seguros   </t>
  </si>
  <si>
    <t xml:space="preserve">(seguros) Poliza Estudiantil   </t>
  </si>
  <si>
    <t xml:space="preserve">(seguros) Responsabilidad Civil   </t>
  </si>
  <si>
    <t xml:space="preserve">(seguros) Rotura de Maquina   </t>
  </si>
  <si>
    <t xml:space="preserve">(seguros) Sustraccion y Hurto   </t>
  </si>
  <si>
    <t xml:space="preserve">(seguros) Terremoto   </t>
  </si>
  <si>
    <t xml:space="preserve">(seguros) Transporte de Mercancia   </t>
  </si>
  <si>
    <t xml:space="preserve">(Serv. aseo y cafeteria) Casino Y Restaurante   </t>
  </si>
  <si>
    <t xml:space="preserve">(Serv. aseo y cafeteria) Servicios de Aseo   </t>
  </si>
  <si>
    <t xml:space="preserve">(servicios de aseo lavanderia y cafeteria) Elemetos de Aseo y Cafeteria   </t>
  </si>
  <si>
    <t xml:space="preserve">(Serv. publicos) Acueducto Y Alcantarillado   </t>
  </si>
  <si>
    <t xml:space="preserve">(Serv. publicos) Aseo   </t>
  </si>
  <si>
    <t xml:space="preserve">(Serv. publicos) Energia Electrica   </t>
  </si>
  <si>
    <t xml:space="preserve">(Serv. publicos) Gas   </t>
  </si>
  <si>
    <t xml:space="preserve">(Serv. publicos) Internet   </t>
  </si>
  <si>
    <t xml:space="preserve">(Serv. publicos) Telefono   </t>
  </si>
  <si>
    <t xml:space="preserve">(Serv. publicos) Telefono Celular   </t>
  </si>
  <si>
    <t xml:space="preserve">(Serv. publicos) Tv Satelital   </t>
  </si>
  <si>
    <t xml:space="preserve">(Serv. Tecn)Asistencia Tenica   </t>
  </si>
  <si>
    <t xml:space="preserve">(Serv. Tecn)Encuadernacion Y Empaste   </t>
  </si>
  <si>
    <t xml:space="preserve">(Serv. Tecn)Grabacion y Produccion   </t>
  </si>
  <si>
    <t xml:space="preserve">(Serv. Tecn)Inhumacion de Cadaveres   </t>
  </si>
  <si>
    <t xml:space="preserve">(Serv. Tecn)Instructores - Talleristas de Bienestar   </t>
  </si>
  <si>
    <t xml:space="preserve">(Serv. Tecn)Microfilmacion   </t>
  </si>
  <si>
    <t xml:space="preserve">(Serv. Tecn)Musica Ambiental   </t>
  </si>
  <si>
    <t xml:space="preserve">(Serv. Tecn)Otros   </t>
  </si>
  <si>
    <t xml:space="preserve">(Serv. Tecn)Procesamiento Electronico de Datos   </t>
  </si>
  <si>
    <t xml:space="preserve">(Serv. Tecn)Publicidad Y Propaganda   </t>
  </si>
  <si>
    <t xml:space="preserve">(Serv. Tecn)Seguridad y Vigilancia   </t>
  </si>
  <si>
    <t xml:space="preserve">(Serv. Tecn)Transporte Fletes Y Acarreos   </t>
  </si>
  <si>
    <t>Movildad docente para clases</t>
  </si>
  <si>
    <t>Becas Beneficiarios Asproul</t>
  </si>
  <si>
    <t>Becas Beneficiarios Sinties</t>
  </si>
  <si>
    <t>Descuento Intercambio Estudiantial</t>
  </si>
  <si>
    <t>Descuento Ser Pilo Paga</t>
  </si>
  <si>
    <t>Licencia 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</si>
</sst>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  <numFmt numFmtId="173" formatCode="0.0%"/>
  </numFmts>
  <fonts count="55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1"/>
      <color indexed="8"/>
      <name val="Calibri"/>
      <family val="2"/>
      <scheme val="minor"/>
    </font>
    <font>
      <sz val="9"/>
      <color theme="1"/>
      <name val="Arial Unicode MS"/>
      <family val="2"/>
    </font>
    <font>
      <sz val="10"/>
      <color theme="1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11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  <xf numFmtId="43" fontId="25" fillId="0" borderId="0" applyFont="0" applyFill="0" applyBorder="0" applyAlignment="0" applyProtection="0"/>
  </cellStyleXfs>
  <cellXfs count="597">
    <xf numFmtId="0" fontId="0" fillId="0" borderId="0" xfId="0"/>
    <xf numFmtId="0" fontId="27" fillId="0" borderId="92" xfId="0" applyFont="1" applyBorder="1" applyAlignment="1">
      <alignment vertical="center"/>
    </xf>
    <xf numFmtId="0" fontId="28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0" fontId="27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0" fontId="27" fillId="0" borderId="97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7" xfId="0" applyNumberFormat="1" applyFont="1" applyBorder="1" applyAlignment="1">
      <alignment vertical="center"/>
    </xf>
    <xf numFmtId="1" fontId="30" fillId="0" borderId="6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1" fontId="30" fillId="0" borderId="8" xfId="0" applyNumberFormat="1" applyFont="1" applyBorder="1" applyAlignment="1">
      <alignment horizontal="center" vertical="center"/>
    </xf>
    <xf numFmtId="4" fontId="30" fillId="0" borderId="8" xfId="0" applyNumberFormat="1" applyFont="1" applyBorder="1" applyAlignment="1">
      <alignment horizontal="center" vertical="center"/>
    </xf>
    <xf numFmtId="1" fontId="30" fillId="0" borderId="16" xfId="0" applyNumberFormat="1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1" fontId="30" fillId="0" borderId="21" xfId="0" applyNumberFormat="1" applyFont="1" applyBorder="1" applyAlignment="1">
      <alignment horizontal="center" vertical="center"/>
    </xf>
    <xf numFmtId="4" fontId="30" fillId="0" borderId="21" xfId="0" applyNumberFormat="1" applyFont="1" applyBorder="1" applyAlignment="1">
      <alignment horizontal="center" vertical="center"/>
    </xf>
    <xf numFmtId="4" fontId="27" fillId="0" borderId="21" xfId="0" applyNumberFormat="1" applyFont="1" applyBorder="1" applyAlignment="1">
      <alignment vertical="center"/>
    </xf>
    <xf numFmtId="4" fontId="27" fillId="0" borderId="27" xfId="0" applyNumberFormat="1" applyFont="1" applyBorder="1" applyAlignment="1">
      <alignment vertical="center"/>
    </xf>
    <xf numFmtId="4" fontId="27" fillId="0" borderId="28" xfId="0" applyNumberFormat="1" applyFont="1" applyBorder="1" applyAlignment="1">
      <alignment vertical="center"/>
    </xf>
    <xf numFmtId="1" fontId="30" fillId="0" borderId="29" xfId="0" applyNumberFormat="1" applyFont="1" applyBorder="1" applyAlignment="1">
      <alignment horizontal="center" vertical="center"/>
    </xf>
    <xf numFmtId="4" fontId="30" fillId="0" borderId="29" xfId="0" applyNumberFormat="1" applyFont="1" applyBorder="1" applyAlignment="1">
      <alignment horizontal="center" vertical="center"/>
    </xf>
    <xf numFmtId="0" fontId="27" fillId="0" borderId="98" xfId="0" applyFont="1" applyBorder="1" applyAlignment="1">
      <alignment vertical="center"/>
    </xf>
    <xf numFmtId="0" fontId="27" fillId="0" borderId="99" xfId="0" applyFont="1" applyBorder="1" applyAlignment="1">
      <alignment vertical="center"/>
    </xf>
    <xf numFmtId="0" fontId="31" fillId="0" borderId="97" xfId="0" applyFont="1" applyBorder="1" applyAlignment="1">
      <alignment vertical="center"/>
    </xf>
    <xf numFmtId="0" fontId="27" fillId="14" borderId="31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32" xfId="0" applyFont="1" applyFill="1" applyBorder="1" applyAlignment="1">
      <alignment vertical="center"/>
    </xf>
    <xf numFmtId="0" fontId="15" fillId="14" borderId="2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3" xfId="0" applyFont="1" applyFill="1" applyBorder="1" applyAlignment="1">
      <alignment horizontal="center" vertical="center"/>
    </xf>
    <xf numFmtId="0" fontId="27" fillId="14" borderId="34" xfId="0" applyFont="1" applyFill="1" applyBorder="1" applyAlignment="1">
      <alignment horizontal="center" vertical="center"/>
    </xf>
    <xf numFmtId="0" fontId="27" fillId="14" borderId="35" xfId="0" applyFont="1" applyFill="1" applyBorder="1" applyAlignment="1">
      <alignment vertical="center"/>
    </xf>
    <xf numFmtId="0" fontId="27" fillId="14" borderId="34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92" xfId="0" applyFont="1" applyFill="1" applyBorder="1" applyAlignment="1">
      <alignment vertical="center"/>
    </xf>
    <xf numFmtId="0" fontId="27" fillId="14" borderId="94" xfId="0" applyFont="1" applyFill="1" applyBorder="1" applyAlignment="1">
      <alignment vertical="center"/>
    </xf>
    <xf numFmtId="0" fontId="29" fillId="14" borderId="94" xfId="0" applyFont="1" applyFill="1" applyBorder="1" applyAlignment="1">
      <alignment vertical="center"/>
    </xf>
    <xf numFmtId="0" fontId="29" fillId="14" borderId="92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4" xfId="0" applyNumberFormat="1" applyFont="1" applyFill="1" applyBorder="1" applyAlignment="1">
      <alignment vertical="center"/>
    </xf>
    <xf numFmtId="4" fontId="27" fillId="14" borderId="92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92" xfId="0" applyFont="1" applyFill="1" applyBorder="1" applyAlignment="1">
      <alignment vertical="center"/>
    </xf>
    <xf numFmtId="0" fontId="27" fillId="14" borderId="97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101" xfId="0" applyFont="1" applyFill="1" applyBorder="1" applyAlignment="1">
      <alignment vertical="center"/>
    </xf>
    <xf numFmtId="0" fontId="34" fillId="14" borderId="102" xfId="0" applyFont="1" applyFill="1" applyBorder="1" applyAlignment="1">
      <alignment vertical="center"/>
    </xf>
    <xf numFmtId="0" fontId="34" fillId="14" borderId="103" xfId="0" applyFont="1" applyFill="1" applyBorder="1" applyAlignment="1">
      <alignment vertical="center"/>
    </xf>
    <xf numFmtId="0" fontId="30" fillId="14" borderId="101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3" xfId="0" applyFont="1" applyFill="1" applyBorder="1" applyAlignment="1">
      <alignment vertical="center"/>
    </xf>
    <xf numFmtId="0" fontId="34" fillId="14" borderId="34" xfId="0" applyFont="1" applyFill="1" applyBorder="1" applyAlignment="1">
      <alignment vertical="center"/>
    </xf>
    <xf numFmtId="0" fontId="34" fillId="14" borderId="34" xfId="0" applyFont="1" applyFill="1" applyBorder="1" applyAlignment="1">
      <alignment horizontal="center" vertical="center"/>
    </xf>
    <xf numFmtId="0" fontId="30" fillId="14" borderId="34" xfId="0" applyFont="1" applyFill="1" applyBorder="1" applyAlignment="1">
      <alignment horizontal="center" vertical="center" wrapText="1"/>
    </xf>
    <xf numFmtId="0" fontId="30" fillId="14" borderId="35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8" xfId="80" applyFont="1" applyFill="1" applyBorder="1" applyAlignment="1" applyProtection="1">
      <alignment horizontal="left" vertical="center"/>
    </xf>
    <xf numFmtId="167" fontId="2" fillId="13" borderId="39" xfId="59" applyNumberFormat="1" applyFont="1" applyFill="1" applyBorder="1" applyAlignment="1" applyProtection="1">
      <alignment vertical="center"/>
      <protection locked="0"/>
    </xf>
    <xf numFmtId="167" fontId="2" fillId="13" borderId="39" xfId="59" applyNumberFormat="1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167" fontId="2" fillId="13" borderId="42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horizontal="left" vertical="center"/>
    </xf>
    <xf numFmtId="167" fontId="2" fillId="13" borderId="44" xfId="59" applyNumberFormat="1" applyFont="1" applyFill="1" applyBorder="1" applyAlignment="1" applyProtection="1">
      <alignment vertical="center"/>
      <protection locked="0"/>
    </xf>
    <xf numFmtId="167" fontId="2" fillId="13" borderId="44" xfId="59" applyNumberFormat="1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horizontal="left" vertical="center"/>
    </xf>
    <xf numFmtId="167" fontId="2" fillId="13" borderId="46" xfId="59" applyNumberFormat="1" applyFont="1" applyFill="1" applyBorder="1" applyAlignment="1" applyProtection="1">
      <alignment vertical="center"/>
      <protection locked="0"/>
    </xf>
    <xf numFmtId="167" fontId="2" fillId="13" borderId="46" xfId="59" applyNumberFormat="1" applyFont="1" applyFill="1" applyBorder="1" applyAlignment="1" applyProtection="1">
      <alignment vertical="center"/>
    </xf>
    <xf numFmtId="0" fontId="18" fillId="16" borderId="47" xfId="0" applyFont="1" applyFill="1" applyBorder="1" applyAlignment="1">
      <alignment vertical="center" wrapText="1"/>
    </xf>
    <xf numFmtId="0" fontId="18" fillId="16" borderId="48" xfId="0" applyFont="1" applyFill="1" applyBorder="1" applyAlignment="1">
      <alignment vertical="center" wrapText="1"/>
    </xf>
    <xf numFmtId="0" fontId="18" fillId="16" borderId="49" xfId="0" applyFont="1" applyFill="1" applyBorder="1" applyAlignment="1">
      <alignment vertical="center" wrapText="1"/>
    </xf>
    <xf numFmtId="164" fontId="18" fillId="16" borderId="50" xfId="72" applyFont="1" applyFill="1" applyBorder="1" applyAlignment="1">
      <alignment vertical="center" wrapText="1"/>
    </xf>
    <xf numFmtId="0" fontId="35" fillId="17" borderId="47" xfId="0" applyFont="1" applyFill="1" applyBorder="1" applyAlignment="1">
      <alignment vertical="center" wrapText="1"/>
    </xf>
    <xf numFmtId="0" fontId="35" fillId="17" borderId="48" xfId="0" applyFont="1" applyFill="1" applyBorder="1" applyAlignment="1">
      <alignment vertical="center" wrapText="1"/>
    </xf>
    <xf numFmtId="0" fontId="35" fillId="17" borderId="49" xfId="0" applyFont="1" applyFill="1" applyBorder="1" applyAlignment="1">
      <alignment vertical="center" wrapText="1"/>
    </xf>
    <xf numFmtId="164" fontId="35" fillId="17" borderId="50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3" xfId="80" applyFont="1" applyFill="1" applyBorder="1" applyAlignment="1" applyProtection="1">
      <alignment vertical="center" wrapText="1"/>
    </xf>
    <xf numFmtId="167" fontId="2" fillId="13" borderId="51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vertical="center"/>
    </xf>
    <xf numFmtId="167" fontId="2" fillId="13" borderId="52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3" xfId="80" applyFont="1" applyFill="1" applyBorder="1" applyAlignment="1" applyProtection="1">
      <alignment vertical="center" wrapText="1"/>
    </xf>
    <xf numFmtId="0" fontId="36" fillId="13" borderId="54" xfId="80" applyFont="1" applyFill="1" applyBorder="1" applyAlignment="1" applyProtection="1">
      <alignment vertical="center" wrapText="1"/>
    </xf>
    <xf numFmtId="0" fontId="36" fillId="13" borderId="55" xfId="80" applyFont="1" applyFill="1" applyBorder="1" applyAlignment="1" applyProtection="1">
      <alignment vertical="center" wrapText="1"/>
    </xf>
    <xf numFmtId="0" fontId="30" fillId="14" borderId="56" xfId="0" applyFont="1" applyFill="1" applyBorder="1" applyAlignment="1">
      <alignment horizontal="left" vertical="center"/>
    </xf>
    <xf numFmtId="0" fontId="30" fillId="14" borderId="57" xfId="0" applyFont="1" applyFill="1" applyBorder="1" applyAlignment="1">
      <alignment vertical="center"/>
    </xf>
    <xf numFmtId="168" fontId="2" fillId="13" borderId="44" xfId="61" applyNumberFormat="1" applyFont="1" applyFill="1" applyBorder="1" applyAlignment="1" applyProtection="1">
      <alignment vertical="center"/>
      <protection locked="0"/>
    </xf>
    <xf numFmtId="0" fontId="18" fillId="16" borderId="58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horizontal="left" vertical="center"/>
    </xf>
    <xf numFmtId="0" fontId="30" fillId="18" borderId="54" xfId="0" applyFont="1" applyFill="1" applyBorder="1" applyAlignment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5" fillId="17" borderId="5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60" xfId="80" applyFont="1" applyFill="1" applyBorder="1" applyAlignment="1" applyProtection="1">
      <alignment horizontal="center" vertical="center" wrapText="1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vertical="center"/>
    </xf>
    <xf numFmtId="0" fontId="30" fillId="0" borderId="61" xfId="0" applyFont="1" applyBorder="1" applyAlignment="1">
      <alignment vertical="center"/>
    </xf>
    <xf numFmtId="0" fontId="2" fillId="13" borderId="39" xfId="80" applyFont="1" applyFill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vertical="center"/>
    </xf>
    <xf numFmtId="168" fontId="30" fillId="0" borderId="59" xfId="26" applyNumberFormat="1" applyFont="1" applyBorder="1" applyAlignment="1" applyProtection="1">
      <alignment vertical="center"/>
    </xf>
    <xf numFmtId="0" fontId="30" fillId="18" borderId="39" xfId="0" applyFont="1" applyFill="1" applyBorder="1" applyAlignment="1">
      <alignment vertical="center" wrapText="1"/>
    </xf>
    <xf numFmtId="168" fontId="2" fillId="13" borderId="39" xfId="26" applyNumberFormat="1" applyFont="1" applyFill="1" applyBorder="1" applyAlignment="1" applyProtection="1">
      <alignment horizontal="center" vertical="center" wrapText="1"/>
    </xf>
    <xf numFmtId="168" fontId="2" fillId="13" borderId="59" xfId="26" applyNumberFormat="1" applyFont="1" applyFill="1" applyBorder="1" applyAlignment="1" applyProtection="1">
      <alignment vertical="center"/>
    </xf>
    <xf numFmtId="0" fontId="30" fillId="0" borderId="56" xfId="0" applyFont="1" applyBorder="1" applyAlignment="1">
      <alignment horizontal="left" vertical="center"/>
    </xf>
    <xf numFmtId="0" fontId="30" fillId="0" borderId="62" xfId="0" applyFont="1" applyBorder="1" applyAlignment="1">
      <alignment vertical="center"/>
    </xf>
    <xf numFmtId="0" fontId="30" fillId="18" borderId="44" xfId="0" applyFont="1" applyFill="1" applyBorder="1" applyAlignment="1">
      <alignment vertical="center" wrapText="1"/>
    </xf>
    <xf numFmtId="168" fontId="2" fillId="13" borderId="44" xfId="26" applyNumberFormat="1" applyFont="1" applyFill="1" applyBorder="1" applyAlignment="1" applyProtection="1">
      <alignment horizontal="center" vertical="center" wrapText="1"/>
    </xf>
    <xf numFmtId="168" fontId="2" fillId="13" borderId="51" xfId="26" applyNumberFormat="1" applyFont="1" applyFill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62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0" fontId="30" fillId="0" borderId="63" xfId="0" applyFont="1" applyBorder="1" applyAlignment="1">
      <alignment horizontal="left" vertical="center"/>
    </xf>
    <xf numFmtId="0" fontId="30" fillId="14" borderId="64" xfId="0" applyFont="1" applyFill="1" applyBorder="1" applyAlignment="1">
      <alignment horizontal="left" vertical="center"/>
    </xf>
    <xf numFmtId="0" fontId="30" fillId="0" borderId="65" xfId="0" applyFont="1" applyBorder="1" applyAlignment="1">
      <alignment horizontal="left" vertical="center"/>
    </xf>
    <xf numFmtId="0" fontId="2" fillId="13" borderId="46" xfId="80" applyFont="1" applyFill="1" applyBorder="1" applyAlignment="1" applyProtection="1">
      <alignment horizontal="center" vertical="center"/>
    </xf>
    <xf numFmtId="0" fontId="2" fillId="13" borderId="46" xfId="80" applyFont="1" applyFill="1" applyBorder="1" applyAlignment="1" applyProtection="1">
      <alignment horizontal="center" vertical="center" wrapText="1"/>
    </xf>
    <xf numFmtId="168" fontId="30" fillId="0" borderId="52" xfId="26" applyNumberFormat="1" applyFont="1" applyBorder="1" applyAlignment="1" applyProtection="1">
      <alignment vertical="center"/>
    </xf>
    <xf numFmtId="0" fontId="30" fillId="18" borderId="66" xfId="0" applyFont="1" applyFill="1" applyBorder="1" applyAlignment="1">
      <alignment horizontal="left" vertical="center"/>
    </xf>
    <xf numFmtId="0" fontId="30" fillId="18" borderId="67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168" fontId="2" fillId="13" borderId="46" xfId="26" applyNumberFormat="1" applyFont="1" applyFill="1" applyBorder="1" applyAlignment="1" applyProtection="1">
      <alignment horizontal="center" vertical="center" wrapText="1"/>
    </xf>
    <xf numFmtId="168" fontId="2" fillId="13" borderId="52" xfId="26" applyNumberFormat="1" applyFont="1" applyFill="1" applyBorder="1" applyAlignment="1" applyProtection="1">
      <alignment vertical="center"/>
    </xf>
    <xf numFmtId="0" fontId="30" fillId="18" borderId="62" xfId="0" applyFont="1" applyFill="1" applyBorder="1" applyAlignment="1">
      <alignment vertical="center"/>
    </xf>
    <xf numFmtId="0" fontId="30" fillId="14" borderId="57" xfId="0" applyFont="1" applyFill="1" applyBorder="1" applyAlignment="1">
      <alignment vertical="center" wrapText="1"/>
    </xf>
    <xf numFmtId="0" fontId="30" fillId="18" borderId="62" xfId="0" applyFont="1" applyFill="1" applyBorder="1" applyAlignment="1">
      <alignment vertical="center" wrapText="1"/>
    </xf>
    <xf numFmtId="0" fontId="30" fillId="0" borderId="68" xfId="0" applyFont="1" applyBorder="1" applyAlignment="1">
      <alignment vertical="center"/>
    </xf>
    <xf numFmtId="0" fontId="30" fillId="14" borderId="66" xfId="0" applyFont="1" applyFill="1" applyBorder="1" applyAlignment="1">
      <alignment vertical="center"/>
    </xf>
    <xf numFmtId="0" fontId="30" fillId="0" borderId="67" xfId="0" applyFont="1" applyBorder="1" applyAlignment="1">
      <alignment vertical="center"/>
    </xf>
    <xf numFmtId="167" fontId="33" fillId="15" borderId="47" xfId="0" applyNumberFormat="1" applyFont="1" applyFill="1" applyBorder="1" applyAlignment="1">
      <alignment vertical="center" wrapText="1"/>
    </xf>
    <xf numFmtId="167" fontId="33" fillId="15" borderId="69" xfId="0" applyNumberFormat="1" applyFont="1" applyFill="1" applyBorder="1" applyAlignment="1">
      <alignment vertical="center" wrapText="1"/>
    </xf>
    <xf numFmtId="164" fontId="33" fillId="15" borderId="6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20" fillId="13" borderId="32" xfId="89" applyNumberFormat="1" applyFont="1" applyFill="1" applyBorder="1" applyAlignment="1" applyProtection="1">
      <alignment vertical="center"/>
      <protection locked="0"/>
    </xf>
    <xf numFmtId="0" fontId="30" fillId="0" borderId="31" xfId="0" applyFont="1" applyBorder="1" applyAlignment="1" applyProtection="1">
      <alignment vertical="center"/>
    </xf>
    <xf numFmtId="0" fontId="30" fillId="0" borderId="32" xfId="0" applyFont="1" applyBorder="1" applyAlignment="1" applyProtection="1">
      <alignment vertical="center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21" fillId="13" borderId="2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3" borderId="33" xfId="89" applyNumberFormat="1" applyFont="1" applyFill="1" applyBorder="1" applyAlignment="1" applyProtection="1">
      <alignment vertical="center"/>
      <protection locked="0"/>
    </xf>
    <xf numFmtId="0" fontId="20" fillId="13" borderId="34" xfId="89" applyNumberFormat="1" applyFont="1" applyFill="1" applyBorder="1" applyAlignment="1" applyProtection="1">
      <alignment vertical="center"/>
      <protection locked="0"/>
    </xf>
    <xf numFmtId="0" fontId="30" fillId="0" borderId="33" xfId="0" applyFont="1" applyBorder="1" applyAlignment="1" applyProtection="1">
      <alignment vertical="center"/>
    </xf>
    <xf numFmtId="0" fontId="30" fillId="14" borderId="34" xfId="0" applyFont="1" applyFill="1" applyBorder="1" applyAlignment="1" applyProtection="1">
      <alignment vertical="center"/>
    </xf>
    <xf numFmtId="0" fontId="20" fillId="14" borderId="35" xfId="89" applyNumberFormat="1" applyFont="1" applyFill="1" applyBorder="1" applyAlignment="1" applyProtection="1">
      <alignment vertical="center"/>
      <protection locked="0"/>
    </xf>
    <xf numFmtId="0" fontId="20" fillId="14" borderId="34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4" xfId="0" applyFont="1" applyBorder="1" applyAlignment="1">
      <alignment vertical="center"/>
    </xf>
    <xf numFmtId="0" fontId="27" fillId="0" borderId="105" xfId="0" applyFont="1" applyBorder="1" applyAlignment="1">
      <alignment vertical="center"/>
    </xf>
    <xf numFmtId="167" fontId="35" fillId="15" borderId="47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7" xfId="89" applyNumberFormat="1" applyFont="1" applyFill="1" applyBorder="1" applyAlignment="1" applyProtection="1">
      <alignment horizontal="left" vertical="center"/>
      <protection hidden="1"/>
    </xf>
    <xf numFmtId="168" fontId="2" fillId="20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3" xfId="80" applyFont="1" applyFill="1" applyBorder="1" applyAlignment="1" applyProtection="1">
      <alignment horizontal="left" vertical="center" wrapText="1" indent="1"/>
    </xf>
    <xf numFmtId="0" fontId="2" fillId="13" borderId="64" xfId="80" applyFont="1" applyFill="1" applyBorder="1" applyAlignment="1" applyProtection="1">
      <alignment vertical="center" wrapText="1"/>
    </xf>
    <xf numFmtId="168" fontId="2" fillId="14" borderId="6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42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6" xfId="0" applyFont="1" applyFill="1" applyBorder="1" applyAlignment="1">
      <alignment horizontal="left" vertical="center" indent="1"/>
    </xf>
    <xf numFmtId="168" fontId="2" fillId="14" borderId="57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7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7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70" xfId="0" applyFont="1" applyFill="1" applyBorder="1"/>
    <xf numFmtId="0" fontId="2" fillId="13" borderId="56" xfId="80" applyFont="1" applyFill="1" applyBorder="1" applyAlignment="1" applyProtection="1">
      <alignment horizontal="left" vertical="center" wrapText="1" indent="1"/>
    </xf>
    <xf numFmtId="0" fontId="2" fillId="13" borderId="57" xfId="80" applyFont="1" applyFill="1" applyBorder="1" applyAlignment="1" applyProtection="1">
      <alignment horizontal="left" vertical="center" wrapText="1" indent="1"/>
    </xf>
    <xf numFmtId="0" fontId="2" fillId="14" borderId="57" xfId="0" applyFont="1" applyFill="1" applyBorder="1"/>
    <xf numFmtId="0" fontId="30" fillId="0" borderId="56" xfId="0" applyFont="1" applyBorder="1" applyAlignment="1">
      <alignment horizontal="left" vertical="center" indent="1"/>
    </xf>
    <xf numFmtId="0" fontId="2" fillId="13" borderId="56" xfId="80" applyFont="1" applyFill="1" applyBorder="1" applyAlignment="1" applyProtection="1">
      <alignment horizontal="left" indent="1"/>
    </xf>
    <xf numFmtId="0" fontId="2" fillId="13" borderId="68" xfId="80" applyFont="1" applyFill="1" applyBorder="1" applyAlignment="1" applyProtection="1">
      <alignment horizontal="left" indent="1"/>
    </xf>
    <xf numFmtId="167" fontId="2" fillId="13" borderId="66" xfId="59" applyNumberFormat="1" applyFont="1" applyFill="1" applyBorder="1" applyAlignment="1" applyProtection="1">
      <alignment horizontal="left" indent="1"/>
    </xf>
    <xf numFmtId="0" fontId="2" fillId="14" borderId="66" xfId="0" applyFont="1" applyFill="1" applyBorder="1"/>
    <xf numFmtId="0" fontId="2" fillId="14" borderId="71" xfId="0" applyFont="1" applyFill="1" applyBorder="1"/>
    <xf numFmtId="0" fontId="35" fillId="17" borderId="47" xfId="0" applyFont="1" applyFill="1" applyBorder="1" applyAlignment="1">
      <alignment horizontal="left" vertical="center"/>
    </xf>
    <xf numFmtId="0" fontId="35" fillId="17" borderId="6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7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7" xfId="89" applyNumberFormat="1" applyFont="1" applyFill="1" applyBorder="1" applyAlignment="1" applyProtection="1">
      <alignment vertical="center" wrapText="1"/>
      <protection hidden="1"/>
    </xf>
    <xf numFmtId="168" fontId="2" fillId="14" borderId="70" xfId="89" applyNumberFormat="1" applyFont="1" applyFill="1" applyBorder="1" applyAlignment="1" applyProtection="1">
      <alignment vertical="center" wrapText="1"/>
      <protection hidden="1"/>
    </xf>
    <xf numFmtId="49" fontId="2" fillId="14" borderId="56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4" xfId="89" applyNumberFormat="1" applyFont="1" applyFill="1" applyBorder="1" applyAlignment="1" applyProtection="1">
      <alignment vertical="center" wrapText="1"/>
      <protection hidden="1"/>
    </xf>
    <xf numFmtId="0" fontId="2" fillId="14" borderId="24" xfId="0" applyFont="1" applyFill="1" applyBorder="1"/>
    <xf numFmtId="49" fontId="18" fillId="14" borderId="25" xfId="89" applyNumberFormat="1" applyFont="1" applyFill="1" applyBorder="1" applyAlignment="1" applyProtection="1">
      <alignment horizontal="left" vertical="center"/>
      <protection hidden="1"/>
    </xf>
    <xf numFmtId="49" fontId="18" fillId="14" borderId="47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31" xfId="89" applyNumberFormat="1" applyFont="1" applyFill="1" applyBorder="1" applyAlignment="1" applyProtection="1">
      <protection locked="0"/>
    </xf>
    <xf numFmtId="0" fontId="30" fillId="0" borderId="31" xfId="0" applyFont="1" applyBorder="1" applyProtection="1"/>
    <xf numFmtId="0" fontId="20" fillId="13" borderId="23" xfId="89" applyNumberFormat="1" applyFont="1" applyFill="1" applyBorder="1" applyAlignment="1" applyProtection="1">
      <protection locked="0"/>
    </xf>
    <xf numFmtId="0" fontId="30" fillId="0" borderId="106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5" xfId="89" applyNumberFormat="1" applyFont="1" applyFill="1" applyBorder="1" applyAlignment="1" applyProtection="1">
      <alignment horizontal="left"/>
      <protection locked="0"/>
    </xf>
    <xf numFmtId="0" fontId="22" fillId="13" borderId="25" xfId="89" applyNumberFormat="1" applyFont="1" applyFill="1" applyBorder="1" applyAlignment="1" applyProtection="1">
      <alignment horizontal="left"/>
      <protection locked="0"/>
    </xf>
    <xf numFmtId="0" fontId="22" fillId="13" borderId="24" xfId="89" applyNumberFormat="1" applyFont="1" applyFill="1" applyBorder="1" applyAlignment="1" applyProtection="1">
      <protection locked="0"/>
    </xf>
    <xf numFmtId="0" fontId="23" fillId="13" borderId="24" xfId="89" applyNumberFormat="1" applyFont="1" applyFill="1" applyBorder="1" applyAlignment="1" applyProtection="1">
      <protection locked="0"/>
    </xf>
    <xf numFmtId="0" fontId="22" fillId="13" borderId="25" xfId="89" applyNumberFormat="1" applyFont="1" applyFill="1" applyBorder="1" applyAlignment="1" applyProtection="1">
      <protection locked="0"/>
    </xf>
    <xf numFmtId="0" fontId="23" fillId="13" borderId="33" xfId="89" applyNumberFormat="1" applyFont="1" applyFill="1" applyBorder="1" applyAlignment="1" applyProtection="1">
      <protection locked="0"/>
    </xf>
    <xf numFmtId="0" fontId="37" fillId="0" borderId="33" xfId="0" applyFont="1" applyBorder="1" applyProtection="1"/>
    <xf numFmtId="0" fontId="23" fillId="13" borderId="35" xfId="89" applyNumberFormat="1" applyFont="1" applyFill="1" applyBorder="1" applyAlignment="1" applyProtection="1">
      <protection locked="0"/>
    </xf>
    <xf numFmtId="0" fontId="37" fillId="14" borderId="35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164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4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4" xfId="0" applyFont="1" applyFill="1" applyBorder="1" applyAlignment="1">
      <alignment horizontal="left" vertical="center"/>
    </xf>
    <xf numFmtId="0" fontId="31" fillId="14" borderId="92" xfId="0" applyFont="1" applyFill="1" applyBorder="1" applyAlignment="1">
      <alignment horizontal="left" vertical="center"/>
    </xf>
    <xf numFmtId="49" fontId="15" fillId="14" borderId="25" xfId="89" applyNumberFormat="1" applyFont="1" applyFill="1" applyBorder="1" applyAlignment="1" applyProtection="1">
      <alignment horizontal="left" vertical="center"/>
      <protection locked="0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center" vertical="center"/>
    </xf>
    <xf numFmtId="1" fontId="30" fillId="14" borderId="73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77" xfId="0" applyNumberFormat="1" applyFont="1" applyFill="1" applyBorder="1" applyAlignment="1">
      <alignment horizontal="center" vertical="center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79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8" xfId="0" applyNumberFormat="1" applyFont="1" applyFill="1" applyBorder="1" applyAlignment="1">
      <alignment vertical="center" wrapText="1"/>
    </xf>
    <xf numFmtId="167" fontId="35" fillId="17" borderId="50" xfId="0" applyNumberFormat="1" applyFont="1" applyFill="1" applyBorder="1" applyAlignment="1">
      <alignment vertical="center" wrapText="1"/>
    </xf>
    <xf numFmtId="2" fontId="27" fillId="0" borderId="99" xfId="0" applyNumberFormat="1" applyFont="1" applyBorder="1" applyAlignment="1">
      <alignment vertical="center" wrapText="1"/>
    </xf>
    <xf numFmtId="1" fontId="27" fillId="0" borderId="99" xfId="0" applyNumberFormat="1" applyFont="1" applyBorder="1" applyAlignment="1">
      <alignment horizontal="center" vertical="center"/>
    </xf>
    <xf numFmtId="49" fontId="27" fillId="0" borderId="99" xfId="0" applyNumberFormat="1" applyFont="1" applyBorder="1" applyAlignment="1">
      <alignment horizontal="center" vertical="center"/>
    </xf>
    <xf numFmtId="164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12" xfId="0" applyNumberFormat="1" applyBorder="1" applyAlignment="1">
      <alignment vertical="top" wrapText="1"/>
    </xf>
    <xf numFmtId="0" fontId="0" fillId="0" borderId="113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13" xfId="0" applyNumberFormat="1" applyBorder="1" applyAlignment="1">
      <alignment horizontal="center" vertical="top" wrapText="1"/>
    </xf>
    <xf numFmtId="0" fontId="0" fillId="0" borderId="114" xfId="0" applyNumberFormat="1" applyBorder="1" applyAlignment="1">
      <alignment horizontal="center" vertical="top" wrapText="1"/>
    </xf>
    <xf numFmtId="164" fontId="2" fillId="14" borderId="42" xfId="0" applyNumberFormat="1" applyFont="1" applyFill="1" applyBorder="1"/>
    <xf numFmtId="164" fontId="2" fillId="14" borderId="70" xfId="0" applyNumberFormat="1" applyFont="1" applyFill="1" applyBorder="1"/>
    <xf numFmtId="164" fontId="2" fillId="14" borderId="71" xfId="0" applyNumberFormat="1" applyFont="1" applyFill="1" applyBorder="1"/>
    <xf numFmtId="164" fontId="35" fillId="17" borderId="1" xfId="0" applyNumberFormat="1" applyFont="1" applyFill="1" applyBorder="1" applyAlignment="1">
      <alignment horizontal="left" vertical="center"/>
    </xf>
    <xf numFmtId="164" fontId="2" fillId="14" borderId="0" xfId="0" applyNumberFormat="1" applyFont="1" applyFill="1"/>
    <xf numFmtId="9" fontId="2" fillId="14" borderId="70" xfId="107" applyFont="1" applyFill="1" applyBorder="1" applyAlignment="1" applyProtection="1">
      <alignment vertical="center" wrapText="1"/>
      <protection hidden="1"/>
    </xf>
    <xf numFmtId="164" fontId="2" fillId="14" borderId="70" xfId="72" applyFont="1" applyFill="1" applyBorder="1"/>
    <xf numFmtId="164" fontId="35" fillId="17" borderId="1" xfId="72" applyFont="1" applyFill="1" applyBorder="1" applyAlignment="1">
      <alignment horizontal="left" vertical="center"/>
    </xf>
    <xf numFmtId="164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7" xfId="0" applyFont="1" applyFill="1" applyBorder="1" applyAlignment="1">
      <alignment vertical="center"/>
    </xf>
    <xf numFmtId="0" fontId="32" fillId="21" borderId="69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4" xfId="0" applyFill="1" applyBorder="1"/>
    <xf numFmtId="0" fontId="0" fillId="23" borderId="44" xfId="0" applyFill="1" applyBorder="1" applyAlignment="1">
      <alignment vertical="top"/>
    </xf>
    <xf numFmtId="0" fontId="0" fillId="0" borderId="44" xfId="0" applyBorder="1" applyAlignment="1">
      <alignment vertical="top"/>
    </xf>
    <xf numFmtId="0" fontId="46" fillId="14" borderId="43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46" fillId="14" borderId="80" xfId="85" applyFont="1" applyFill="1" applyBorder="1" applyAlignment="1">
      <alignment horizontal="center" vertical="center"/>
    </xf>
    <xf numFmtId="0" fontId="46" fillId="14" borderId="60" xfId="85" applyFont="1" applyFill="1" applyBorder="1" applyAlignment="1">
      <alignment horizontal="center" vertical="center"/>
    </xf>
    <xf numFmtId="0" fontId="0" fillId="23" borderId="44" xfId="0" applyFill="1" applyBorder="1" applyAlignment="1">
      <alignment horizontal="center" vertical="top"/>
    </xf>
    <xf numFmtId="0" fontId="35" fillId="21" borderId="69" xfId="0" applyFont="1" applyFill="1" applyBorder="1" applyAlignment="1">
      <alignment vertical="center"/>
    </xf>
    <xf numFmtId="0" fontId="30" fillId="0" borderId="99" xfId="0" applyFont="1" applyBorder="1" applyAlignment="1">
      <alignment horizontal="center" vertical="center"/>
    </xf>
    <xf numFmtId="0" fontId="30" fillId="14" borderId="32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4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167" fontId="44" fillId="15" borderId="1" xfId="0" applyNumberFormat="1" applyFont="1" applyFill="1" applyBorder="1" applyAlignment="1">
      <alignment horizontal="center" vertical="center" wrapText="1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4" xfId="85" applyFont="1" applyFill="1" applyBorder="1" applyAlignment="1">
      <alignment horizontal="center" vertical="center"/>
    </xf>
    <xf numFmtId="49" fontId="46" fillId="14" borderId="44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32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4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22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164" fontId="32" fillId="21" borderId="69" xfId="72" applyFont="1" applyFill="1" applyBorder="1" applyAlignment="1">
      <alignment vertical="center"/>
    </xf>
    <xf numFmtId="164" fontId="31" fillId="0" borderId="30" xfId="72" applyFont="1" applyBorder="1" applyAlignment="1">
      <alignment vertical="center"/>
    </xf>
    <xf numFmtId="164" fontId="31" fillId="0" borderId="7" xfId="72" applyFont="1" applyBorder="1" applyAlignment="1">
      <alignment vertical="center"/>
    </xf>
    <xf numFmtId="164" fontId="31" fillId="0" borderId="14" xfId="72" applyFont="1" applyBorder="1" applyAlignment="1">
      <alignment vertical="center"/>
    </xf>
    <xf numFmtId="164" fontId="31" fillId="0" borderId="17" xfId="72" applyFont="1" applyBorder="1" applyAlignment="1">
      <alignment vertical="center"/>
    </xf>
    <xf numFmtId="164" fontId="31" fillId="0" borderId="26" xfId="72" applyFont="1" applyBorder="1" applyAlignment="1">
      <alignment vertical="center"/>
    </xf>
    <xf numFmtId="164" fontId="27" fillId="0" borderId="100" xfId="72" applyFont="1" applyBorder="1" applyAlignment="1">
      <alignment vertical="center"/>
    </xf>
    <xf numFmtId="164" fontId="27" fillId="14" borderId="32" xfId="72" applyFont="1" applyFill="1" applyBorder="1" applyAlignment="1">
      <alignment vertical="center"/>
    </xf>
    <xf numFmtId="164" fontId="15" fillId="14" borderId="0" xfId="72" applyFont="1" applyFill="1" applyBorder="1" applyAlignment="1" applyProtection="1">
      <alignment vertical="center"/>
      <protection locked="0"/>
    </xf>
    <xf numFmtId="164" fontId="16" fillId="14" borderId="0" xfId="72" applyFont="1" applyFill="1" applyBorder="1" applyAlignment="1" applyProtection="1">
      <alignment vertical="center"/>
      <protection locked="0"/>
    </xf>
    <xf numFmtId="164" fontId="27" fillId="14" borderId="34" xfId="72" applyFont="1" applyFill="1" applyBorder="1" applyAlignment="1">
      <alignment vertical="center"/>
    </xf>
    <xf numFmtId="164" fontId="27" fillId="14" borderId="0" xfId="72" applyFont="1" applyFill="1" applyAlignment="1">
      <alignment vertical="center"/>
    </xf>
    <xf numFmtId="0" fontId="33" fillId="21" borderId="69" xfId="0" applyFont="1" applyFill="1" applyBorder="1" applyAlignment="1">
      <alignment vertical="center" wrapText="1"/>
    </xf>
    <xf numFmtId="4" fontId="29" fillId="0" borderId="5" xfId="0" applyNumberFormat="1" applyFont="1" applyBorder="1" applyAlignment="1">
      <alignment vertical="center" wrapText="1"/>
    </xf>
    <xf numFmtId="4" fontId="29" fillId="0" borderId="13" xfId="0" applyNumberFormat="1" applyFont="1" applyBorder="1" applyAlignment="1">
      <alignment vertical="center" wrapText="1"/>
    </xf>
    <xf numFmtId="4" fontId="29" fillId="0" borderId="15" xfId="0" applyNumberFormat="1" applyFont="1" applyBorder="1" applyAlignment="1">
      <alignment vertical="center" wrapText="1"/>
    </xf>
    <xf numFmtId="4" fontId="29" fillId="0" borderId="22" xfId="0" applyNumberFormat="1" applyFont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99" xfId="0" applyFont="1" applyBorder="1" applyAlignment="1">
      <alignment vertical="center" wrapText="1"/>
    </xf>
    <xf numFmtId="0" fontId="29" fillId="14" borderId="32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4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6" xfId="106" applyNumberFormat="1" applyFont="1" applyBorder="1" applyAlignment="1">
      <alignment horizontal="center" vertical="center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9" xfId="106" applyNumberFormat="1" applyFont="1" applyBorder="1" applyAlignment="1">
      <alignment horizontal="center" vertical="center"/>
    </xf>
    <xf numFmtId="0" fontId="30" fillId="0" borderId="8" xfId="106" applyNumberFormat="1" applyFont="1" applyBorder="1" applyAlignment="1">
      <alignment horizontal="center" vertical="center"/>
    </xf>
    <xf numFmtId="0" fontId="30" fillId="0" borderId="16" xfId="106" applyNumberFormat="1" applyFont="1" applyBorder="1" applyAlignment="1">
      <alignment horizontal="center" vertical="center"/>
    </xf>
    <xf numFmtId="164" fontId="31" fillId="25" borderId="7" xfId="72" applyFont="1" applyFill="1" applyBorder="1" applyAlignment="1">
      <alignment vertical="center"/>
    </xf>
    <xf numFmtId="0" fontId="30" fillId="0" borderId="21" xfId="106" applyNumberFormat="1" applyFont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justify" vertical="center" wrapText="1"/>
    </xf>
    <xf numFmtId="1" fontId="30" fillId="14" borderId="74" xfId="0" applyNumberFormat="1" applyFont="1" applyFill="1" applyBorder="1" applyAlignment="1">
      <alignment horizontal="justify" vertical="center" wrapText="1"/>
    </xf>
    <xf numFmtId="1" fontId="30" fillId="25" borderId="72" xfId="0" applyNumberFormat="1" applyFont="1" applyFill="1" applyBorder="1" applyAlignment="1">
      <alignment horizontal="justify" vertical="center" wrapText="1"/>
    </xf>
    <xf numFmtId="0" fontId="32" fillId="21" borderId="69" xfId="0" applyFont="1" applyFill="1" applyBorder="1" applyAlignment="1">
      <alignment vertical="center" wrapText="1"/>
    </xf>
    <xf numFmtId="0" fontId="27" fillId="0" borderId="99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31" xfId="0" applyFont="1" applyFill="1" applyBorder="1" applyAlignment="1">
      <alignment vertical="center" wrapText="1"/>
    </xf>
    <xf numFmtId="0" fontId="15" fillId="14" borderId="25" xfId="89" applyNumberFormat="1" applyFont="1" applyFill="1" applyBorder="1" applyAlignment="1" applyProtection="1">
      <alignment vertical="center" wrapText="1"/>
      <protection locked="0"/>
    </xf>
    <xf numFmtId="0" fontId="16" fillId="14" borderId="25" xfId="89" applyNumberFormat="1" applyFont="1" applyFill="1" applyBorder="1" applyAlignment="1" applyProtection="1">
      <alignment vertical="center" wrapText="1"/>
      <protection locked="0"/>
    </xf>
    <xf numFmtId="0" fontId="27" fillId="14" borderId="33" xfId="0" applyFont="1" applyFill="1" applyBorder="1" applyAlignment="1">
      <alignment vertical="center" wrapText="1"/>
    </xf>
    <xf numFmtId="4" fontId="27" fillId="0" borderId="118" xfId="0" applyNumberFormat="1" applyFont="1" applyBorder="1" applyAlignment="1">
      <alignment vertical="center"/>
    </xf>
    <xf numFmtId="4" fontId="27" fillId="0" borderId="119" xfId="0" applyNumberFormat="1" applyFont="1" applyBorder="1" applyAlignment="1">
      <alignment vertical="center"/>
    </xf>
    <xf numFmtId="4" fontId="27" fillId="0" borderId="117" xfId="0" applyNumberFormat="1" applyFont="1" applyBorder="1" applyAlignment="1">
      <alignment vertical="center"/>
    </xf>
    <xf numFmtId="4" fontId="27" fillId="0" borderId="115" xfId="0" applyNumberFormat="1" applyFont="1" applyBorder="1" applyAlignment="1">
      <alignment vertical="center"/>
    </xf>
    <xf numFmtId="4" fontId="27" fillId="0" borderId="84" xfId="0" applyNumberFormat="1" applyFont="1" applyBorder="1" applyAlignment="1">
      <alignment vertical="center"/>
    </xf>
    <xf numFmtId="4" fontId="27" fillId="0" borderId="87" xfId="0" applyNumberFormat="1" applyFont="1" applyBorder="1" applyAlignment="1">
      <alignment vertical="center"/>
    </xf>
    <xf numFmtId="4" fontId="30" fillId="0" borderId="116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7" xfId="0" applyNumberFormat="1" applyFont="1" applyBorder="1" applyAlignment="1">
      <alignment vertical="center"/>
    </xf>
    <xf numFmtId="1" fontId="30" fillId="14" borderId="72" xfId="0" applyNumberFormat="1" applyFont="1" applyFill="1" applyBorder="1" applyAlignment="1">
      <alignment horizontal="left"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7" xfId="89" applyFont="1" applyBorder="1" applyAlignment="1" applyProtection="1">
      <alignment horizontal="center" vertical="center" wrapText="1"/>
      <protection hidden="1"/>
    </xf>
    <xf numFmtId="0" fontId="29" fillId="0" borderId="44" xfId="0" applyFont="1" applyBorder="1"/>
    <xf numFmtId="49" fontId="29" fillId="0" borderId="44" xfId="0" applyNumberFormat="1" applyFont="1" applyBorder="1" applyAlignment="1">
      <alignment horizontal="right"/>
    </xf>
    <xf numFmtId="0" fontId="29" fillId="0" borderId="44" xfId="0" applyFont="1" applyBorder="1" applyAlignment="1">
      <alignment horizontal="right"/>
    </xf>
    <xf numFmtId="41" fontId="0" fillId="0" borderId="0" xfId="106" applyFont="1"/>
    <xf numFmtId="41" fontId="51" fillId="0" borderId="58" xfId="106" applyFont="1" applyBorder="1" applyAlignment="1" applyProtection="1">
      <alignment horizontal="center" vertical="center" wrapText="1"/>
      <protection hidden="1"/>
    </xf>
    <xf numFmtId="0" fontId="0" fillId="0" borderId="44" xfId="0" applyBorder="1"/>
    <xf numFmtId="41" fontId="0" fillId="0" borderId="44" xfId="106" applyFont="1" applyBorder="1"/>
    <xf numFmtId="41" fontId="0" fillId="0" borderId="44" xfId="0" applyNumberFormat="1" applyBorder="1"/>
    <xf numFmtId="168" fontId="0" fillId="0" borderId="0" xfId="26" applyNumberFormat="1" applyFont="1"/>
    <xf numFmtId="168" fontId="0" fillId="0" borderId="44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4" xfId="26" applyNumberFormat="1" applyFont="1" applyBorder="1"/>
    <xf numFmtId="168" fontId="26" fillId="0" borderId="0" xfId="26" applyNumberFormat="1" applyFont="1"/>
    <xf numFmtId="1" fontId="30" fillId="14" borderId="77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67" fontId="2" fillId="13" borderId="81" xfId="59" applyNumberFormat="1" applyFont="1" applyFill="1" applyBorder="1" applyAlignment="1" applyProtection="1">
      <alignment vertical="center"/>
    </xf>
    <xf numFmtId="167" fontId="2" fillId="13" borderId="59" xfId="59" applyNumberFormat="1" applyFont="1" applyFill="1" applyBorder="1" applyAlignment="1" applyProtection="1">
      <alignment vertical="center"/>
    </xf>
    <xf numFmtId="164" fontId="0" fillId="0" borderId="0" xfId="72" applyFont="1"/>
    <xf numFmtId="0" fontId="52" fillId="26" borderId="44" xfId="108" applyFill="1" applyBorder="1"/>
    <xf numFmtId="0" fontId="52" fillId="26" borderId="44" xfId="108" applyFill="1" applyBorder="1" applyAlignment="1">
      <alignment horizontal="center"/>
    </xf>
    <xf numFmtId="0" fontId="52" fillId="26" borderId="0" xfId="108" applyFill="1"/>
    <xf numFmtId="0" fontId="52" fillId="26" borderId="0" xfId="108" applyFill="1" applyAlignment="1">
      <alignment horizontal="center"/>
    </xf>
    <xf numFmtId="0" fontId="52" fillId="0" borderId="0" xfId="108"/>
    <xf numFmtId="14" fontId="53" fillId="0" borderId="120" xfId="0" applyNumberFormat="1" applyFont="1" applyBorder="1"/>
    <xf numFmtId="0" fontId="53" fillId="0" borderId="120" xfId="0" applyFont="1" applyBorder="1"/>
    <xf numFmtId="168" fontId="54" fillId="0" borderId="0" xfId="109" applyNumberFormat="1" applyFont="1"/>
    <xf numFmtId="0" fontId="26" fillId="0" borderId="0" xfId="0" applyFont="1"/>
    <xf numFmtId="0" fontId="26" fillId="0" borderId="121" xfId="0" applyFont="1" applyBorder="1"/>
    <xf numFmtId="0" fontId="26" fillId="0" borderId="0" xfId="0" applyFont="1" applyBorder="1"/>
    <xf numFmtId="0" fontId="0" fillId="0" borderId="0" xfId="0" applyFont="1"/>
    <xf numFmtId="168" fontId="0" fillId="0" borderId="0" xfId="0" applyNumberFormat="1"/>
    <xf numFmtId="41" fontId="0" fillId="0" borderId="0" xfId="0" applyNumberFormat="1"/>
    <xf numFmtId="0" fontId="0" fillId="27" borderId="0" xfId="0" applyFill="1"/>
    <xf numFmtId="14" fontId="0" fillId="27" borderId="0" xfId="106" applyNumberFormat="1" applyFont="1" applyFill="1"/>
    <xf numFmtId="41" fontId="0" fillId="27" borderId="0" xfId="106" applyFont="1" applyFill="1"/>
    <xf numFmtId="168" fontId="54" fillId="27" borderId="0" xfId="109" applyNumberFormat="1" applyFont="1" applyFill="1"/>
    <xf numFmtId="0" fontId="46" fillId="14" borderId="44" xfId="85" applyFont="1" applyFill="1" applyBorder="1" applyAlignment="1">
      <alignment horizontal="center"/>
    </xf>
    <xf numFmtId="4" fontId="27" fillId="25" borderId="94" xfId="0" applyNumberFormat="1" applyFont="1" applyFill="1" applyBorder="1" applyAlignment="1">
      <alignment vertical="center"/>
    </xf>
    <xf numFmtId="164" fontId="0" fillId="0" borderId="44" xfId="0" applyNumberFormat="1" applyBorder="1"/>
    <xf numFmtId="167" fontId="18" fillId="16" borderId="48" xfId="0" applyNumberFormat="1" applyFont="1" applyFill="1" applyBorder="1" applyAlignment="1">
      <alignment vertical="center" wrapText="1"/>
    </xf>
    <xf numFmtId="0" fontId="30" fillId="18" borderId="34" xfId="0" applyFont="1" applyFill="1" applyBorder="1" applyAlignment="1">
      <alignment vertical="center"/>
    </xf>
    <xf numFmtId="168" fontId="2" fillId="13" borderId="44" xfId="61" applyNumberFormat="1" applyFont="1" applyFill="1" applyBorder="1" applyAlignment="1">
      <alignment vertical="center"/>
    </xf>
    <xf numFmtId="164" fontId="2" fillId="13" borderId="44" xfId="72" applyFont="1" applyFill="1" applyBorder="1" applyAlignment="1">
      <alignment vertical="center"/>
    </xf>
    <xf numFmtId="168" fontId="2" fillId="13" borderId="44" xfId="80" applyNumberFormat="1" applyFill="1" applyBorder="1" applyAlignment="1">
      <alignment vertical="center"/>
    </xf>
    <xf numFmtId="0" fontId="2" fillId="13" borderId="44" xfId="80" applyFill="1" applyBorder="1" applyAlignment="1">
      <alignment vertical="center"/>
    </xf>
    <xf numFmtId="168" fontId="2" fillId="13" borderId="51" xfId="80" applyNumberFormat="1" applyFill="1" applyBorder="1" applyAlignment="1">
      <alignment vertical="center"/>
    </xf>
    <xf numFmtId="168" fontId="2" fillId="13" borderId="39" xfId="61" applyNumberFormat="1" applyFont="1" applyFill="1" applyBorder="1" applyAlignment="1">
      <alignment vertical="center"/>
    </xf>
    <xf numFmtId="0" fontId="2" fillId="13" borderId="39" xfId="80" applyFill="1" applyBorder="1" applyAlignment="1">
      <alignment vertical="center"/>
    </xf>
    <xf numFmtId="168" fontId="2" fillId="13" borderId="39" xfId="80" applyNumberFormat="1" applyFill="1" applyBorder="1" applyAlignment="1">
      <alignment vertical="center"/>
    </xf>
    <xf numFmtId="168" fontId="2" fillId="13" borderId="59" xfId="80" applyNumberFormat="1" applyFill="1" applyBorder="1" applyAlignment="1">
      <alignment vertical="center"/>
    </xf>
    <xf numFmtId="164" fontId="2" fillId="13" borderId="46" xfId="72" applyFont="1" applyFill="1" applyBorder="1" applyAlignment="1">
      <alignment vertical="center"/>
    </xf>
    <xf numFmtId="0" fontId="2" fillId="13" borderId="44" xfId="80" applyFill="1" applyBorder="1" applyAlignment="1">
      <alignment horizontal="center" vertical="center"/>
    </xf>
    <xf numFmtId="164" fontId="30" fillId="0" borderId="44" xfId="72" applyFont="1" applyBorder="1" applyAlignment="1">
      <alignment vertical="center"/>
    </xf>
    <xf numFmtId="168" fontId="30" fillId="0" borderId="59" xfId="26" applyNumberFormat="1" applyFont="1" applyBorder="1" applyAlignment="1">
      <alignment vertical="center"/>
    </xf>
    <xf numFmtId="164" fontId="2" fillId="13" borderId="44" xfId="72" applyFont="1" applyFill="1" applyBorder="1" applyAlignment="1">
      <alignment horizontal="center" vertical="center" wrapText="1"/>
    </xf>
    <xf numFmtId="0" fontId="2" fillId="13" borderId="46" xfId="80" applyFill="1" applyBorder="1" applyAlignment="1">
      <alignment horizontal="center" vertical="center"/>
    </xf>
    <xf numFmtId="164" fontId="2" fillId="13" borderId="46" xfId="72" applyFont="1" applyFill="1" applyBorder="1" applyAlignment="1">
      <alignment horizontal="center" vertical="center" wrapText="1"/>
    </xf>
    <xf numFmtId="1" fontId="30" fillId="27" borderId="76" xfId="0" applyNumberFormat="1" applyFont="1" applyFill="1" applyBorder="1" applyAlignment="1">
      <alignment horizontal="center" vertical="center"/>
    </xf>
    <xf numFmtId="1" fontId="30" fillId="27" borderId="118" xfId="0" applyNumberFormat="1" applyFont="1" applyFill="1" applyBorder="1" applyAlignment="1">
      <alignment horizontal="center" vertical="center"/>
    </xf>
    <xf numFmtId="4" fontId="30" fillId="27" borderId="24" xfId="0" applyNumberFormat="1" applyFont="1" applyFill="1" applyBorder="1" applyAlignment="1">
      <alignment vertical="center" wrapText="1"/>
    </xf>
    <xf numFmtId="0" fontId="30" fillId="27" borderId="21" xfId="106" applyNumberFormat="1" applyFont="1" applyFill="1" applyBorder="1" applyAlignment="1">
      <alignment horizontal="center" vertical="center"/>
    </xf>
    <xf numFmtId="4" fontId="30" fillId="27" borderId="22" xfId="0" applyNumberFormat="1" applyFont="1" applyFill="1" applyBorder="1" applyAlignment="1">
      <alignment vertical="center" wrapText="1"/>
    </xf>
    <xf numFmtId="4" fontId="30" fillId="27" borderId="21" xfId="0" applyNumberFormat="1" applyFont="1" applyFill="1" applyBorder="1" applyAlignment="1">
      <alignment horizontal="center" vertical="center"/>
    </xf>
    <xf numFmtId="4" fontId="29" fillId="27" borderId="22" xfId="0" applyNumberFormat="1" applyFont="1" applyFill="1" applyBorder="1" applyAlignment="1">
      <alignment vertical="center" wrapText="1"/>
    </xf>
    <xf numFmtId="164" fontId="31" fillId="27" borderId="17" xfId="72" applyFont="1" applyFill="1" applyBorder="1" applyAlignment="1">
      <alignment vertical="center"/>
    </xf>
    <xf numFmtId="0" fontId="27" fillId="14" borderId="104" xfId="0" applyFont="1" applyFill="1" applyBorder="1" applyAlignment="1">
      <alignment horizontal="center" vertical="center"/>
    </xf>
    <xf numFmtId="0" fontId="27" fillId="14" borderId="107" xfId="0" applyFont="1" applyFill="1" applyBorder="1" applyAlignment="1">
      <alignment horizontal="center" vertical="center"/>
    </xf>
    <xf numFmtId="0" fontId="40" fillId="14" borderId="105" xfId="0" applyFont="1" applyFill="1" applyBorder="1" applyAlignment="1">
      <alignment horizontal="center" vertical="center"/>
    </xf>
    <xf numFmtId="0" fontId="40" fillId="14" borderId="97" xfId="0" applyFont="1" applyFill="1" applyBorder="1" applyAlignment="1">
      <alignment horizontal="center" vertical="center"/>
    </xf>
    <xf numFmtId="0" fontId="41" fillId="14" borderId="105" xfId="0" applyFont="1" applyFill="1" applyBorder="1" applyAlignment="1">
      <alignment horizontal="center" vertical="center"/>
    </xf>
    <xf numFmtId="0" fontId="41" fillId="14" borderId="97" xfId="0" applyFont="1" applyFill="1" applyBorder="1" applyAlignment="1">
      <alignment horizontal="center" vertical="center"/>
    </xf>
    <xf numFmtId="0" fontId="27" fillId="14" borderId="98" xfId="0" applyFont="1" applyFill="1" applyBorder="1" applyAlignment="1">
      <alignment horizontal="center" vertical="center"/>
    </xf>
    <xf numFmtId="0" fontId="27" fillId="14" borderId="108" xfId="0" applyFont="1" applyFill="1" applyBorder="1" applyAlignment="1">
      <alignment horizontal="center" vertical="center"/>
    </xf>
    <xf numFmtId="0" fontId="27" fillId="14" borderId="105" xfId="0" applyFont="1" applyFill="1" applyBorder="1" applyAlignment="1">
      <alignment horizontal="center" vertical="center"/>
    </xf>
    <xf numFmtId="167" fontId="35" fillId="15" borderId="6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167" fontId="35" fillId="15" borderId="6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5" xfId="0" applyFont="1" applyFill="1" applyBorder="1" applyAlignment="1" applyProtection="1">
      <alignment horizontal="left"/>
    </xf>
    <xf numFmtId="0" fontId="34" fillId="14" borderId="24" xfId="0" applyFont="1" applyFill="1" applyBorder="1" applyAlignment="1" applyProtection="1">
      <alignment horizontal="left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33" xfId="0" applyNumberFormat="1" applyFont="1" applyFill="1" applyBorder="1" applyAlignment="1">
      <alignment horizontal="center" vertical="center" wrapText="1"/>
    </xf>
    <xf numFmtId="167" fontId="44" fillId="15" borderId="34" xfId="0" applyNumberFormat="1" applyFont="1" applyFill="1" applyBorder="1" applyAlignment="1">
      <alignment horizontal="center" vertical="center" wrapText="1"/>
    </xf>
    <xf numFmtId="167" fontId="44" fillId="15" borderId="35" xfId="0" applyNumberFormat="1" applyFont="1" applyFill="1" applyBorder="1" applyAlignment="1">
      <alignment horizontal="center" vertical="center" wrapText="1"/>
    </xf>
    <xf numFmtId="49" fontId="2" fillId="14" borderId="5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4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5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7" xfId="0" applyFont="1" applyFill="1" applyBorder="1" applyAlignment="1">
      <alignment horizontal="center" vertical="center"/>
    </xf>
    <xf numFmtId="0" fontId="18" fillId="19" borderId="6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3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33" xfId="0" applyNumberFormat="1" applyFont="1" applyFill="1" applyBorder="1" applyAlignment="1">
      <alignment horizontal="center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35" fillId="17" borderId="47" xfId="0" applyFont="1" applyFill="1" applyBorder="1" applyAlignment="1">
      <alignment horizontal="center" vertical="center" wrapText="1"/>
    </xf>
    <xf numFmtId="0" fontId="35" fillId="17" borderId="69" xfId="0" applyFont="1" applyFill="1" applyBorder="1" applyAlignment="1">
      <alignment horizontal="center" vertical="center" wrapText="1"/>
    </xf>
    <xf numFmtId="49" fontId="38" fillId="15" borderId="47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7" xfId="0" applyFont="1" applyFill="1" applyBorder="1" applyAlignment="1">
      <alignment horizontal="center" vertical="center"/>
    </xf>
    <xf numFmtId="0" fontId="19" fillId="19" borderId="6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7" xfId="0" applyFont="1" applyFill="1" applyBorder="1" applyAlignment="1">
      <alignment horizontal="left" vertical="center" wrapText="1"/>
    </xf>
    <xf numFmtId="0" fontId="18" fillId="16" borderId="69" xfId="0" applyFont="1" applyFill="1" applyBorder="1" applyAlignment="1">
      <alignment horizontal="left" vertical="center" wrapText="1"/>
    </xf>
    <xf numFmtId="0" fontId="18" fillId="13" borderId="38" xfId="80" applyFont="1" applyFill="1" applyBorder="1" applyAlignment="1" applyProtection="1">
      <alignment horizontal="center" vertical="center" wrapText="1"/>
    </xf>
    <xf numFmtId="0" fontId="18" fillId="13" borderId="80" xfId="80" applyFont="1" applyFill="1" applyBorder="1" applyAlignment="1" applyProtection="1">
      <alignment horizontal="center" vertical="center" wrapText="1"/>
    </xf>
    <xf numFmtId="0" fontId="18" fillId="13" borderId="39" xfId="80" applyFont="1" applyFill="1" applyBorder="1" applyAlignment="1" applyProtection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0" fontId="30" fillId="18" borderId="57" xfId="0" applyFont="1" applyFill="1" applyBorder="1" applyAlignment="1">
      <alignment horizontal="left" vertical="center" wrapText="1"/>
    </xf>
    <xf numFmtId="0" fontId="30" fillId="18" borderId="62" xfId="0" applyFont="1" applyFill="1" applyBorder="1" applyAlignment="1">
      <alignment horizontal="left" vertical="center" wrapText="1"/>
    </xf>
    <xf numFmtId="0" fontId="35" fillId="17" borderId="49" xfId="0" applyFont="1" applyFill="1" applyBorder="1" applyAlignment="1">
      <alignment horizontal="center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41" xfId="80" applyFont="1" applyFill="1" applyBorder="1" applyAlignment="1" applyProtection="1">
      <alignment horizontal="center" vertical="center" wrapText="1"/>
    </xf>
    <xf numFmtId="0" fontId="18" fillId="13" borderId="81" xfId="80" applyFont="1" applyFill="1" applyBorder="1" applyAlignment="1" applyProtection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18" fillId="13" borderId="54" xfId="80" applyFont="1" applyFill="1" applyBorder="1" applyAlignment="1" applyProtection="1">
      <alignment horizontal="center" vertical="center" wrapText="1"/>
    </xf>
    <xf numFmtId="0" fontId="18" fillId="13" borderId="61" xfId="80" applyFont="1" applyFill="1" applyBorder="1" applyAlignment="1" applyProtection="1">
      <alignment horizontal="center" vertical="center" wrapText="1"/>
    </xf>
    <xf numFmtId="0" fontId="18" fillId="13" borderId="59" xfId="80" applyFont="1" applyFill="1" applyBorder="1" applyAlignment="1" applyProtection="1">
      <alignment horizontal="center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0" fillId="18" borderId="61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83" xfId="80" applyFont="1" applyFill="1" applyBorder="1" applyAlignment="1" applyProtection="1">
      <alignment horizontal="center" vertical="center" wrapText="1"/>
    </xf>
    <xf numFmtId="0" fontId="27" fillId="0" borderId="104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167" fontId="33" fillId="15" borderId="47" xfId="0" applyNumberFormat="1" applyFont="1" applyFill="1" applyBorder="1" applyAlignment="1">
      <alignment horizontal="center" vertical="center" wrapText="1"/>
    </xf>
    <xf numFmtId="167" fontId="33" fillId="15" borderId="6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55" xfId="80" applyFont="1" applyFill="1" applyBorder="1" applyAlignment="1" applyProtection="1">
      <alignment horizontal="center" vertical="center" wrapText="1"/>
    </xf>
    <xf numFmtId="0" fontId="27" fillId="0" borderId="98" xfId="0" applyFont="1" applyBorder="1" applyAlignment="1">
      <alignment horizontal="center" vertical="center"/>
    </xf>
    <xf numFmtId="0" fontId="27" fillId="0" borderId="108" xfId="0" applyFont="1" applyBorder="1" applyAlignment="1">
      <alignment horizontal="center" vertical="center"/>
    </xf>
    <xf numFmtId="0" fontId="27" fillId="0" borderId="105" xfId="0" applyFont="1" applyBorder="1" applyAlignment="1">
      <alignment horizontal="center" vertical="center"/>
    </xf>
    <xf numFmtId="0" fontId="40" fillId="0" borderId="105" xfId="0" applyFont="1" applyBorder="1" applyAlignment="1">
      <alignment horizontal="center" vertical="center"/>
    </xf>
    <xf numFmtId="0" fontId="40" fillId="0" borderId="97" xfId="0" applyFont="1" applyBorder="1" applyAlignment="1">
      <alignment horizontal="center" vertical="center"/>
    </xf>
    <xf numFmtId="0" fontId="42" fillId="0" borderId="105" xfId="0" applyFont="1" applyBorder="1" applyAlignment="1">
      <alignment horizontal="center" vertical="center"/>
    </xf>
    <xf numFmtId="0" fontId="42" fillId="0" borderId="97" xfId="0" applyFont="1" applyBorder="1" applyAlignment="1">
      <alignment horizontal="center" vertical="center"/>
    </xf>
    <xf numFmtId="0" fontId="17" fillId="19" borderId="47" xfId="0" applyFont="1" applyFill="1" applyBorder="1" applyAlignment="1">
      <alignment horizontal="center" vertical="center"/>
    </xf>
    <xf numFmtId="0" fontId="17" fillId="19" borderId="6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84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85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0" fontId="18" fillId="13" borderId="86" xfId="80" applyFont="1" applyFill="1" applyBorder="1" applyAlignment="1" applyProtection="1">
      <alignment horizontal="center" vertical="center" wrapText="1"/>
    </xf>
    <xf numFmtId="0" fontId="18" fillId="13" borderId="87" xfId="80" applyFont="1" applyFill="1" applyBorder="1" applyAlignment="1" applyProtection="1">
      <alignment horizontal="center" vertical="center" wrapText="1"/>
    </xf>
    <xf numFmtId="0" fontId="18" fillId="13" borderId="88" xfId="80" applyFont="1" applyFill="1" applyBorder="1" applyAlignment="1" applyProtection="1">
      <alignment horizontal="center" vertical="center" wrapText="1"/>
    </xf>
    <xf numFmtId="0" fontId="35" fillId="17" borderId="47" xfId="0" applyFont="1" applyFill="1" applyBorder="1" applyAlignment="1">
      <alignment horizontal="left" vertical="center" wrapText="1"/>
    </xf>
    <xf numFmtId="0" fontId="35" fillId="17" borderId="69" xfId="0" applyFont="1" applyFill="1" applyBorder="1" applyAlignment="1">
      <alignment horizontal="left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33" xfId="0" applyNumberFormat="1" applyFont="1" applyFill="1" applyBorder="1" applyAlignment="1">
      <alignment horizontal="center" vertical="center" wrapText="1"/>
    </xf>
    <xf numFmtId="167" fontId="45" fillId="22" borderId="34" xfId="0" applyNumberFormat="1" applyFont="1" applyFill="1" applyBorder="1" applyAlignment="1">
      <alignment horizontal="center" vertical="center" wrapText="1"/>
    </xf>
    <xf numFmtId="167" fontId="45" fillId="22" borderId="35" xfId="0" applyNumberFormat="1" applyFont="1" applyFill="1" applyBorder="1" applyAlignment="1">
      <alignment horizontal="center" vertical="center" wrapText="1"/>
    </xf>
    <xf numFmtId="0" fontId="27" fillId="14" borderId="0" xfId="0" applyFont="1" applyFill="1" applyAlignment="1">
      <alignment horizontal="center" vertical="center"/>
    </xf>
    <xf numFmtId="167" fontId="32" fillId="15" borderId="47" xfId="0" applyNumberFormat="1" applyFont="1" applyFill="1" applyBorder="1" applyAlignment="1">
      <alignment horizontal="center" vertical="center" wrapText="1"/>
    </xf>
    <xf numFmtId="167" fontId="32" fillId="15" borderId="69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justify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justify" vertical="center" wrapText="1"/>
    </xf>
    <xf numFmtId="167" fontId="32" fillId="15" borderId="31" xfId="0" applyNumberFormat="1" applyFont="1" applyFill="1" applyBorder="1" applyAlignment="1">
      <alignment horizontal="center" vertical="center" wrapText="1"/>
    </xf>
    <xf numFmtId="167" fontId="32" fillId="15" borderId="32" xfId="0" applyNumberFormat="1" applyFont="1" applyFill="1" applyBorder="1" applyAlignment="1">
      <alignment horizontal="center" vertical="center" wrapText="1"/>
    </xf>
    <xf numFmtId="167" fontId="32" fillId="15" borderId="33" xfId="0" applyNumberFormat="1" applyFont="1" applyFill="1" applyBorder="1" applyAlignment="1">
      <alignment horizontal="center" vertical="center" wrapText="1"/>
    </xf>
    <xf numFmtId="167" fontId="32" fillId="15" borderId="34" xfId="0" applyNumberFormat="1" applyFont="1" applyFill="1" applyBorder="1" applyAlignment="1">
      <alignment horizontal="center" vertical="center" wrapText="1"/>
    </xf>
    <xf numFmtId="167" fontId="32" fillId="15" borderId="89" xfId="0" applyNumberFormat="1" applyFont="1" applyFill="1" applyBorder="1" applyAlignment="1">
      <alignment horizontal="center" vertical="center" wrapText="1"/>
    </xf>
    <xf numFmtId="167" fontId="32" fillId="15" borderId="91" xfId="0" applyNumberFormat="1" applyFont="1" applyFill="1" applyBorder="1" applyAlignment="1">
      <alignment horizontal="center" vertical="center" wrapText="1"/>
    </xf>
    <xf numFmtId="167" fontId="32" fillId="15" borderId="90" xfId="0" applyNumberFormat="1" applyFont="1" applyFill="1" applyBorder="1" applyAlignment="1">
      <alignment horizontal="center" vertical="center" wrapText="1"/>
    </xf>
    <xf numFmtId="167" fontId="32" fillId="15" borderId="0" xfId="0" applyNumberFormat="1" applyFont="1" applyFill="1" applyBorder="1" applyAlignment="1">
      <alignment horizontal="center" vertical="center" wrapText="1"/>
    </xf>
    <xf numFmtId="0" fontId="32" fillId="21" borderId="69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49" fontId="38" fillId="15" borderId="6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4" xfId="0" applyNumberFormat="1" applyFont="1" applyFill="1" applyBorder="1" applyAlignment="1">
      <alignment horizontal="center" vertical="center" wrapText="1"/>
    </xf>
    <xf numFmtId="0" fontId="27" fillId="0" borderId="97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3" fillId="0" borderId="105" xfId="0" applyFont="1" applyBorder="1" applyAlignment="1">
      <alignment horizontal="center" vertical="center"/>
    </xf>
    <xf numFmtId="0" fontId="43" fillId="0" borderId="97" xfId="0" applyFont="1" applyBorder="1" applyAlignment="1">
      <alignment horizontal="center" vertical="center"/>
    </xf>
    <xf numFmtId="0" fontId="43" fillId="0" borderId="109" xfId="0" applyFont="1" applyBorder="1" applyAlignment="1">
      <alignment horizontal="center" vertical="center"/>
    </xf>
    <xf numFmtId="0" fontId="27" fillId="0" borderId="110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167" fontId="44" fillId="15" borderId="47" xfId="0" applyNumberFormat="1" applyFont="1" applyFill="1" applyBorder="1" applyAlignment="1">
      <alignment horizontal="center" vertical="center" wrapText="1"/>
    </xf>
    <xf numFmtId="167" fontId="44" fillId="15" borderId="2" xfId="0" applyNumberFormat="1" applyFont="1" applyFill="1" applyBorder="1" applyAlignment="1">
      <alignment horizontal="center" vertical="center" wrapText="1"/>
    </xf>
    <xf numFmtId="164" fontId="32" fillId="15" borderId="89" xfId="72" applyFont="1" applyFill="1" applyBorder="1" applyAlignment="1">
      <alignment horizontal="center" vertical="center" wrapText="1"/>
    </xf>
    <xf numFmtId="164" fontId="32" fillId="15" borderId="90" xfId="72" applyFont="1" applyFill="1" applyBorder="1" applyAlignment="1">
      <alignment horizontal="center" vertical="center" wrapText="1"/>
    </xf>
    <xf numFmtId="0" fontId="39" fillId="17" borderId="47" xfId="0" applyFont="1" applyFill="1" applyBorder="1" applyAlignment="1">
      <alignment horizontal="right" vertical="center" wrapText="1"/>
    </xf>
    <xf numFmtId="0" fontId="39" fillId="17" borderId="69" xfId="0" applyFont="1" applyFill="1" applyBorder="1" applyAlignment="1">
      <alignment horizontal="right" vertical="center" wrapText="1"/>
    </xf>
    <xf numFmtId="1" fontId="30" fillId="14" borderId="89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center" vertical="center" wrapText="1"/>
    </xf>
    <xf numFmtId="0" fontId="29" fillId="0" borderId="44" xfId="0" applyFont="1" applyBorder="1" applyAlignment="1">
      <alignment horizontal="left"/>
    </xf>
    <xf numFmtId="0" fontId="49" fillId="0" borderId="47" xfId="0" applyFont="1" applyBorder="1" applyAlignment="1" applyProtection="1">
      <alignment horizontal="center" vertical="center" wrapText="1"/>
      <protection hidden="1"/>
    </xf>
    <xf numFmtId="0" fontId="49" fillId="0" borderId="6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0" fillId="0" borderId="44" xfId="0" applyBorder="1" applyAlignment="1">
      <alignment horizontal="center"/>
    </xf>
    <xf numFmtId="164" fontId="0" fillId="0" borderId="0" xfId="72" applyFont="1" applyAlignment="1">
      <alignment horizontal="center"/>
    </xf>
    <xf numFmtId="0" fontId="0" fillId="0" borderId="0" xfId="0" applyAlignment="1">
      <alignment horizontal="center"/>
    </xf>
    <xf numFmtId="173" fontId="0" fillId="0" borderId="0" xfId="107" applyNumberFormat="1" applyFont="1" applyAlignment="1">
      <alignment horizontal="center"/>
    </xf>
  </cellXfs>
  <cellStyles count="110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21" xfId="109" xr:uid="{7E64DA8B-8984-4B35-AC9B-A44BF758D384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10" xfId="108" xr:uid="{90C2B0B6-CDEF-4BC5-93D2-DC3AC0BAF119}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Valor%20matricula%202020%20y%20Meta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Anexo%20No.%201%20Servicios%20Publico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ores Pecuniarios 2020"/>
      <sheetName val="Incremento Matricula"/>
      <sheetName val="Estudiantes"/>
      <sheetName val="Hoja1"/>
    </sheetNames>
    <sheetDataSet>
      <sheetData sheetId="0">
        <row r="156">
          <cell r="F156">
            <v>6653000</v>
          </cell>
          <cell r="G156">
            <v>6653000</v>
          </cell>
        </row>
        <row r="157">
          <cell r="F157">
            <v>6653000</v>
          </cell>
          <cell r="G157">
            <v>6653000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entes"/>
      <sheetName val="Area 05"/>
      <sheetName val="Area 07"/>
      <sheetName val="Sede Centro"/>
      <sheetName val="Sede Belmonte"/>
    </sheetNames>
    <sheetDataSet>
      <sheetData sheetId="0"/>
      <sheetData sheetId="1"/>
      <sheetData sheetId="2"/>
      <sheetData sheetId="3"/>
      <sheetData sheetId="4">
        <row r="42">
          <cell r="G42">
            <v>644000</v>
          </cell>
          <cell r="H42">
            <v>1288000</v>
          </cell>
          <cell r="I42">
            <v>3220000</v>
          </cell>
          <cell r="J42">
            <v>2147000</v>
          </cell>
          <cell r="K42">
            <v>644000</v>
          </cell>
          <cell r="L42">
            <v>3220000</v>
          </cell>
          <cell r="M42">
            <v>537000</v>
          </cell>
          <cell r="N42">
            <v>859000</v>
          </cell>
          <cell r="O42">
            <v>21469000</v>
          </cell>
          <cell r="P42">
            <v>10734000</v>
          </cell>
          <cell r="R42">
            <v>1226000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13" workbookViewId="0">
      <selection activeCell="H34" sqref="H34"/>
    </sheetView>
  </sheetViews>
  <sheetFormatPr baseColWidth="10" defaultRowHeight="12.75"/>
  <cols>
    <col min="1" max="1" width="3.140625" style="195" customWidth="1"/>
    <col min="2" max="2" width="34.5703125" style="195" customWidth="1"/>
    <col min="3" max="3" width="15.140625" style="195" customWidth="1"/>
    <col min="4" max="4" width="23.42578125" style="195" customWidth="1"/>
    <col min="5" max="5" width="7" style="195" customWidth="1"/>
    <col min="6" max="6" width="31.5703125" style="195" customWidth="1"/>
    <col min="7" max="16384" width="11.42578125" style="195"/>
  </cols>
  <sheetData>
    <row r="1" spans="1:10" s="1" customFormat="1" ht="20.25" customHeight="1">
      <c r="A1" s="186"/>
      <c r="B1" s="458"/>
      <c r="C1" s="459"/>
      <c r="D1" s="459"/>
      <c r="E1" s="459"/>
      <c r="F1" s="459"/>
      <c r="G1" s="3"/>
    </row>
    <row r="2" spans="1:10" s="1" customFormat="1" ht="23.25" customHeight="1">
      <c r="A2" s="187"/>
      <c r="B2" s="460" t="s">
        <v>4</v>
      </c>
      <c r="C2" s="461"/>
      <c r="D2" s="461"/>
      <c r="E2" s="461"/>
      <c r="F2" s="461"/>
      <c r="G2" s="3"/>
    </row>
    <row r="3" spans="1:10" s="1" customFormat="1" ht="23.25" customHeight="1">
      <c r="A3" s="187"/>
      <c r="B3" s="462" t="s">
        <v>283</v>
      </c>
      <c r="C3" s="463"/>
      <c r="D3" s="463"/>
      <c r="E3" s="463"/>
      <c r="F3" s="463"/>
      <c r="G3" s="3"/>
    </row>
    <row r="4" spans="1:10" s="1" customFormat="1" ht="10.5" customHeight="1">
      <c r="A4" s="32"/>
      <c r="B4" s="464"/>
      <c r="C4" s="465"/>
      <c r="D4" s="465"/>
      <c r="E4" s="465"/>
      <c r="F4" s="465"/>
      <c r="G4" s="3"/>
    </row>
    <row r="5" spans="1:10" s="1" customFormat="1" ht="10.5" customHeight="1" thickBot="1">
      <c r="A5" s="187"/>
      <c r="B5" s="466"/>
      <c r="C5" s="459"/>
      <c r="D5" s="459"/>
      <c r="E5" s="459"/>
      <c r="F5" s="459"/>
      <c r="G5" s="3"/>
    </row>
    <row r="6" spans="1:10" s="69" customFormat="1" ht="25.5" customHeight="1" thickBot="1">
      <c r="B6" s="188" t="s">
        <v>12</v>
      </c>
      <c r="C6" s="467" t="s">
        <v>284</v>
      </c>
      <c r="D6" s="468"/>
      <c r="E6" s="189" t="s">
        <v>113</v>
      </c>
      <c r="F6" s="255" t="s">
        <v>285</v>
      </c>
    </row>
    <row r="7" spans="1:10" s="193" customFormat="1" ht="13.5" thickBot="1">
      <c r="A7" s="190"/>
      <c r="B7" s="191"/>
      <c r="C7" s="191"/>
      <c r="D7" s="191"/>
      <c r="E7" s="192"/>
      <c r="F7" s="192"/>
      <c r="G7" s="190"/>
    </row>
    <row r="8" spans="1:10" s="193" customFormat="1" ht="16.5" customHeight="1" thickBot="1">
      <c r="B8" s="469" t="s">
        <v>1</v>
      </c>
      <c r="C8" s="470"/>
      <c r="D8" s="470"/>
      <c r="E8" s="470"/>
      <c r="F8" s="471"/>
    </row>
    <row r="9" spans="1:10" s="193" customFormat="1" ht="16.5" customHeight="1" thickBot="1">
      <c r="B9" s="194" t="s">
        <v>143</v>
      </c>
      <c r="C9" s="469" t="str">
        <f>+VLOOKUP(B12,Listas!$B$7:$D$98,3,FALSE)</f>
        <v>FACULTAD DE INGENIERIA</v>
      </c>
      <c r="D9" s="470"/>
      <c r="E9" s="470"/>
      <c r="F9" s="471"/>
    </row>
    <row r="10" spans="1:10" s="193" customFormat="1" ht="13.5" thickBot="1">
      <c r="B10" s="194" t="s">
        <v>8</v>
      </c>
      <c r="C10" s="194"/>
      <c r="D10" s="469" t="s">
        <v>9</v>
      </c>
      <c r="E10" s="471"/>
      <c r="F10" s="194"/>
    </row>
    <row r="11" spans="1:10" s="193" customFormat="1" ht="16.5" customHeight="1" thickBot="1">
      <c r="B11" s="469" t="s">
        <v>204</v>
      </c>
      <c r="C11" s="470"/>
      <c r="D11" s="471"/>
      <c r="E11" s="469" t="s">
        <v>7</v>
      </c>
      <c r="F11" s="471"/>
    </row>
    <row r="12" spans="1:10" s="69" customFormat="1" ht="16.5" customHeight="1">
      <c r="B12" s="474" t="s">
        <v>350</v>
      </c>
      <c r="C12" s="475"/>
      <c r="D12" s="476"/>
      <c r="E12" s="486" t="str">
        <f>+VLOOKUP($B$12,Listas!$B$8:$C$98,2,FALSE)</f>
        <v>05020102</v>
      </c>
      <c r="F12" s="487"/>
    </row>
    <row r="13" spans="1:10" s="69" customFormat="1" ht="16.5" customHeight="1" thickBot="1">
      <c r="B13" s="477"/>
      <c r="C13" s="478"/>
      <c r="D13" s="479"/>
      <c r="E13" s="488"/>
      <c r="F13" s="489"/>
      <c r="G13" s="195"/>
      <c r="H13" s="195"/>
      <c r="I13" s="195"/>
      <c r="J13" s="195"/>
    </row>
    <row r="14" spans="1:10" ht="13.5" thickBot="1">
      <c r="B14" s="196"/>
      <c r="C14" s="197"/>
      <c r="D14" s="198"/>
      <c r="E14" s="197"/>
      <c r="F14" s="199"/>
    </row>
    <row r="15" spans="1:10" s="200" customFormat="1" ht="13.5" thickBot="1">
      <c r="B15" s="483" t="s">
        <v>142</v>
      </c>
      <c r="C15" s="484"/>
      <c r="D15" s="484"/>
      <c r="E15" s="485"/>
      <c r="F15" s="201" t="s">
        <v>251</v>
      </c>
      <c r="G15" s="195"/>
      <c r="H15" s="195"/>
      <c r="I15" s="195"/>
      <c r="J15" s="195"/>
    </row>
    <row r="16" spans="1:10" ht="13.5" thickBot="1">
      <c r="B16" s="202" t="s">
        <v>139</v>
      </c>
      <c r="C16" s="203"/>
      <c r="D16" s="204"/>
      <c r="E16" s="205"/>
      <c r="F16" s="206"/>
    </row>
    <row r="17" spans="2:7">
      <c r="B17" s="207" t="s">
        <v>135</v>
      </c>
      <c r="C17" s="208"/>
      <c r="D17" s="209"/>
      <c r="E17" s="210"/>
      <c r="F17" s="290">
        <f>+INGRESOS!L27</f>
        <v>884849000</v>
      </c>
    </row>
    <row r="18" spans="2:7">
      <c r="B18" s="211" t="s">
        <v>136</v>
      </c>
      <c r="C18" s="212"/>
      <c r="D18" s="213"/>
      <c r="E18" s="214"/>
      <c r="F18" s="291">
        <f>+INGRESOS!L28</f>
        <v>1000000</v>
      </c>
    </row>
    <row r="19" spans="2:7" hidden="1">
      <c r="B19" s="216" t="s">
        <v>137</v>
      </c>
      <c r="C19" s="217"/>
      <c r="D19" s="218"/>
      <c r="E19" s="215"/>
      <c r="F19" s="215"/>
    </row>
    <row r="20" spans="2:7" hidden="1">
      <c r="B20" s="216" t="s">
        <v>138</v>
      </c>
      <c r="C20" s="217"/>
      <c r="D20" s="218"/>
      <c r="E20" s="215"/>
      <c r="F20" s="215"/>
    </row>
    <row r="21" spans="2:7" hidden="1">
      <c r="B21" s="211" t="s">
        <v>270</v>
      </c>
      <c r="C21" s="217"/>
      <c r="D21" s="218"/>
      <c r="E21" s="215"/>
      <c r="F21" s="215"/>
    </row>
    <row r="22" spans="2:7">
      <c r="B22" s="219" t="s">
        <v>133</v>
      </c>
      <c r="C22" s="217"/>
      <c r="D22" s="218"/>
      <c r="E22" s="215"/>
      <c r="F22" s="291">
        <f>-INGRESOS!L67</f>
        <v>-69856500</v>
      </c>
    </row>
    <row r="23" spans="2:7">
      <c r="B23" s="211" t="s">
        <v>53</v>
      </c>
      <c r="C23" s="217"/>
      <c r="D23" s="218"/>
      <c r="E23" s="215"/>
      <c r="F23" s="291">
        <f>-INGRESOS!L79</f>
        <v>-12635000</v>
      </c>
    </row>
    <row r="24" spans="2:7">
      <c r="B24" s="211" t="s">
        <v>134</v>
      </c>
      <c r="C24" s="217"/>
      <c r="D24" s="218"/>
      <c r="E24" s="215"/>
      <c r="F24" s="291">
        <f>+INGRESOS!L80</f>
        <v>0</v>
      </c>
    </row>
    <row r="25" spans="2:7">
      <c r="B25" s="220" t="s">
        <v>274</v>
      </c>
      <c r="C25" s="217"/>
      <c r="D25" s="218"/>
      <c r="E25" s="215"/>
      <c r="F25" s="291">
        <f>+INGRESOS!F106</f>
        <v>57767000</v>
      </c>
    </row>
    <row r="26" spans="2:7" ht="13.5" thickBot="1">
      <c r="B26" s="221" t="s">
        <v>273</v>
      </c>
      <c r="C26" s="222"/>
      <c r="D26" s="223"/>
      <c r="E26" s="224"/>
      <c r="F26" s="292">
        <f>+INGRESOS!L106</f>
        <v>0</v>
      </c>
    </row>
    <row r="27" spans="2:7" ht="13.5" thickBot="1">
      <c r="B27" s="225" t="s">
        <v>132</v>
      </c>
      <c r="C27" s="226"/>
      <c r="D27" s="226"/>
      <c r="E27" s="227"/>
      <c r="F27" s="293">
        <f>+SUM(F17:F26)</f>
        <v>861124500</v>
      </c>
      <c r="G27" s="294">
        <f>+F27-INGRESOS!L108</f>
        <v>0</v>
      </c>
    </row>
    <row r="28" spans="2:7" ht="13.5" thickBot="1">
      <c r="B28" s="202"/>
      <c r="C28" s="203"/>
      <c r="D28" s="204"/>
      <c r="E28" s="205"/>
      <c r="F28" s="206"/>
    </row>
    <row r="29" spans="2:7">
      <c r="B29" s="480" t="s">
        <v>271</v>
      </c>
      <c r="C29" s="481"/>
      <c r="D29" s="481"/>
      <c r="E29" s="482"/>
      <c r="F29" s="296"/>
    </row>
    <row r="30" spans="2:7">
      <c r="B30" s="231" t="s">
        <v>272</v>
      </c>
      <c r="C30" s="228"/>
      <c r="D30" s="229"/>
      <c r="E30" s="295">
        <v>0.25</v>
      </c>
      <c r="F30" s="296">
        <f>+MROUND(F27*E30,1000)</f>
        <v>215281000</v>
      </c>
    </row>
    <row r="31" spans="2:7">
      <c r="B31" s="231" t="s">
        <v>281</v>
      </c>
      <c r="C31" s="228"/>
      <c r="D31" s="229"/>
      <c r="E31" s="230"/>
      <c r="F31" s="296"/>
    </row>
    <row r="32" spans="2:7" ht="13.5" thickBot="1">
      <c r="B32" s="231" t="s">
        <v>282</v>
      </c>
      <c r="C32" s="228"/>
      <c r="D32" s="229"/>
      <c r="E32" s="230"/>
      <c r="F32" s="296">
        <f>+'Total Presupuesto'!M41</f>
        <v>323939000</v>
      </c>
    </row>
    <row r="33" spans="2:6" ht="13.5" thickBot="1">
      <c r="B33" s="225" t="s">
        <v>141</v>
      </c>
      <c r="C33" s="226"/>
      <c r="D33" s="226"/>
      <c r="E33" s="227"/>
      <c r="F33" s="297">
        <f>+SUM(F29:F32)</f>
        <v>539220000</v>
      </c>
    </row>
    <row r="34" spans="2:6" ht="13.5" thickBot="1">
      <c r="B34" s="236"/>
      <c r="C34" s="232"/>
      <c r="D34" s="233"/>
      <c r="E34" s="234"/>
      <c r="F34" s="235"/>
    </row>
    <row r="35" spans="2:6" ht="13.5" thickBot="1">
      <c r="B35" s="237" t="s">
        <v>140</v>
      </c>
      <c r="C35" s="238"/>
      <c r="D35" s="239"/>
      <c r="E35" s="240"/>
      <c r="F35" s="298">
        <f>+F27-F33</f>
        <v>321904500</v>
      </c>
    </row>
    <row r="37" spans="2:6" ht="13.5" thickBot="1"/>
    <row r="38" spans="2:6" ht="9" customHeight="1" thickBot="1">
      <c r="B38" s="241"/>
      <c r="C38" s="242"/>
      <c r="D38" s="243"/>
      <c r="E38" s="241"/>
      <c r="F38" s="244"/>
    </row>
    <row r="39" spans="2:6" s="245" customFormat="1">
      <c r="B39" s="246" t="s">
        <v>10</v>
      </c>
      <c r="C39" s="472" t="s">
        <v>130</v>
      </c>
      <c r="D39" s="473"/>
      <c r="E39" s="472" t="s">
        <v>131</v>
      </c>
      <c r="F39" s="473"/>
    </row>
    <row r="40" spans="2:6">
      <c r="B40" s="247" t="s">
        <v>233</v>
      </c>
      <c r="C40" s="247" t="s">
        <v>233</v>
      </c>
      <c r="D40" s="248"/>
      <c r="E40" s="247" t="s">
        <v>233</v>
      </c>
      <c r="F40" s="249" t="s">
        <v>442</v>
      </c>
    </row>
    <row r="41" spans="2:6">
      <c r="B41" s="250" t="s">
        <v>234</v>
      </c>
      <c r="C41" s="250" t="s">
        <v>234</v>
      </c>
      <c r="D41" s="248"/>
      <c r="E41" s="250" t="s">
        <v>246</v>
      </c>
      <c r="F41" s="249" t="s">
        <v>443</v>
      </c>
    </row>
    <row r="42" spans="2:6" ht="13.5">
      <c r="B42" s="250" t="s">
        <v>237</v>
      </c>
      <c r="C42" s="250" t="s">
        <v>235</v>
      </c>
      <c r="D42" s="248"/>
      <c r="E42" s="250" t="s">
        <v>237</v>
      </c>
      <c r="F42" s="249"/>
    </row>
    <row r="43" spans="2:6" ht="10.5" customHeight="1" thickBot="1">
      <c r="B43" s="251"/>
      <c r="C43" s="252"/>
      <c r="D43" s="253"/>
      <c r="E43" s="251"/>
      <c r="F43" s="254"/>
    </row>
    <row r="48" spans="2:6">
      <c r="B48" s="195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E9C1-9622-4E14-9D5B-5D0897A30A7D}">
  <dimension ref="A1:N64"/>
  <sheetViews>
    <sheetView showGridLines="0" topLeftCell="A16" zoomScale="90" zoomScaleNormal="90" workbookViewId="0">
      <selection activeCell="B7" sqref="B7:C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5" t="s">
        <v>1136</v>
      </c>
      <c r="B1" s="595"/>
      <c r="C1" s="595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6">
        <v>6.5000000000000002E-2</v>
      </c>
      <c r="C2" s="596"/>
      <c r="D2" t="s">
        <v>1139</v>
      </c>
      <c r="H2" t="str">
        <f>+INGRESOS!A10</f>
        <v>Esp. en Alta Gerencia</v>
      </c>
      <c r="L2" t="s">
        <v>1140</v>
      </c>
      <c r="M2" s="416">
        <v>44177</v>
      </c>
    </row>
    <row r="3" spans="1:13">
      <c r="A3" t="s">
        <v>1141</v>
      </c>
      <c r="B3" s="594">
        <f>MROUND((93500*1.05),100)</f>
        <v>98200</v>
      </c>
      <c r="C3" s="594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4">
        <f>MROUND(1000000*1.05,1000)</f>
        <v>1050000</v>
      </c>
      <c r="C4" s="594"/>
      <c r="D4" t="s">
        <v>1146</v>
      </c>
      <c r="H4" t="str">
        <f>+TOTAL!C9</f>
        <v>FACULTAD DE INGENIERIA</v>
      </c>
      <c r="L4" t="s">
        <v>1147</v>
      </c>
      <c r="M4" s="417">
        <f>+MONTH(H3)-1</f>
        <v>1</v>
      </c>
    </row>
    <row r="5" spans="1:13">
      <c r="A5" t="s">
        <v>1148</v>
      </c>
      <c r="B5" s="594">
        <v>350000</v>
      </c>
      <c r="C5" s="594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4">
        <v>260000</v>
      </c>
      <c r="C6" s="594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4">
        <v>109000</v>
      </c>
      <c r="C7" s="594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05020102</v>
      </c>
      <c r="H16" s="415" t="str">
        <f>+$H$2</f>
        <v>Esp. en Alta Gerencia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05020102</v>
      </c>
      <c r="H17" s="415" t="str">
        <f t="shared" ref="H17:H29" si="0">+$H$2</f>
        <v>Esp. en Alta Gerencia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05020102</v>
      </c>
      <c r="H18" s="415" t="str">
        <f t="shared" si="0"/>
        <v>Esp. en Alta Gerencia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05020102</v>
      </c>
      <c r="H19" s="415" t="str">
        <f t="shared" si="0"/>
        <v>Esp. en Alta Gerencia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05020102</v>
      </c>
      <c r="H20" s="415" t="str">
        <f t="shared" si="0"/>
        <v>Esp. en Alta Gerencia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05020102</v>
      </c>
      <c r="H21" s="415" t="str">
        <f t="shared" si="0"/>
        <v>Esp. en Alta Gerencia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05020102</v>
      </c>
      <c r="H22" s="415" t="str">
        <f t="shared" si="0"/>
        <v>Esp. en Alta Gerencia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05020102</v>
      </c>
      <c r="H23" s="415" t="str">
        <f t="shared" si="0"/>
        <v>Esp. en Alta Gerencia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05020102</v>
      </c>
      <c r="H24" s="415" t="str">
        <f t="shared" si="0"/>
        <v>Esp. en Alta Gerencia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05020102</v>
      </c>
      <c r="H25" s="415" t="str">
        <f t="shared" si="0"/>
        <v>Esp. en Alta Gerencia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05020102</v>
      </c>
      <c r="H26" s="415" t="str">
        <f t="shared" si="0"/>
        <v>Esp. en Alta Gerencia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05020102</v>
      </c>
      <c r="H27" s="415" t="str">
        <f t="shared" si="0"/>
        <v>Esp. en Alta Gerencia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05020102</v>
      </c>
      <c r="H28" s="415" t="str">
        <f t="shared" si="0"/>
        <v>Esp. en Alta Gerencia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05020102</v>
      </c>
      <c r="H29" s="415" t="str">
        <f t="shared" si="0"/>
        <v>Esp. en Alta Gerencia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05020102</v>
      </c>
      <c r="H32" s="419" t="str">
        <f>+$H$29</f>
        <v>Esp. en Alta Gerencia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05020102</v>
      </c>
      <c r="H33" s="419" t="str">
        <f t="shared" ref="H33:H62" si="3">+$H$29</f>
        <v>Esp. en Alta Gerencia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MROUND($H$6*$B$3*65%,1000)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05020102</v>
      </c>
      <c r="H34" s="419" t="str">
        <f t="shared" si="3"/>
        <v>Esp. en Alta Gerencia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MROUND($H$6*$B$3*18%,1000)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05020102</v>
      </c>
      <c r="H35" s="419" t="str">
        <f t="shared" si="3"/>
        <v>Esp. en Alta Gerencia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MROUND($H$6*$B$3*10%,1000)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05020102</v>
      </c>
      <c r="H36" s="419" t="str">
        <f t="shared" si="3"/>
        <v>Esp. en Alta Gerencia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MROUND($H$6*$B$3*4%,1000)</f>
        <v>0</v>
      </c>
      <c r="N36" t="s">
        <v>1276</v>
      </c>
    </row>
    <row r="37" spans="1:14">
      <c r="G37" t="str">
        <f t="shared" si="2"/>
        <v>05020102</v>
      </c>
      <c r="H37" s="419" t="str">
        <f t="shared" si="3"/>
        <v>Esp. en Alta Gerencia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05020102</v>
      </c>
      <c r="H38" s="419" t="str">
        <f t="shared" si="3"/>
        <v>Esp. en Alta Gerencia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05020102</v>
      </c>
      <c r="H39" s="419" t="str">
        <f t="shared" si="3"/>
        <v>Esp. en Alta Gerencia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05020102</v>
      </c>
      <c r="H40" s="419" t="str">
        <f t="shared" si="3"/>
        <v>Esp. en Alta Gerencia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+MROUND((H8*3000*3/12*M6),1000)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05020102</v>
      </c>
      <c r="H41" s="419" t="str">
        <f t="shared" si="3"/>
        <v>Esp. en Alta Gerencia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05020102</v>
      </c>
      <c r="H42" s="419" t="str">
        <f t="shared" si="3"/>
        <v>Esp. en Alta Gerencia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05020102</v>
      </c>
      <c r="H43" s="419" t="str">
        <f t="shared" si="3"/>
        <v>Esp. en Alta Gerencia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+MROUND($H$7*$B$5*3%,1000)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05020102</v>
      </c>
      <c r="H44" s="419" t="str">
        <f t="shared" si="3"/>
        <v>Esp. en Alta Gerencia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05020102</v>
      </c>
      <c r="H45" s="419" t="str">
        <f t="shared" si="3"/>
        <v>Esp. en Alta Gerencia</v>
      </c>
      <c r="M45" s="394"/>
    </row>
    <row r="46" spans="1:14">
      <c r="G46" t="str">
        <f t="shared" si="2"/>
        <v>05020102</v>
      </c>
      <c r="H46" s="419" t="str">
        <f t="shared" si="3"/>
        <v>Esp. en Alta Gerencia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05020102</v>
      </c>
      <c r="H47" s="419" t="str">
        <f t="shared" si="3"/>
        <v>Esp. en Alta Gerencia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05020102</v>
      </c>
      <c r="H48" s="419" t="str">
        <f t="shared" si="3"/>
        <v>Esp. en Alta Gerencia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05020102</v>
      </c>
      <c r="H49" s="419" t="str">
        <f t="shared" si="3"/>
        <v>Esp. en Alta Gerencia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05020102</v>
      </c>
      <c r="H50" s="419" t="str">
        <f t="shared" si="3"/>
        <v>Esp. en Alta Gerencia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05020102</v>
      </c>
      <c r="H51" s="419" t="str">
        <f t="shared" si="3"/>
        <v>Esp. en Alta Gerencia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05020102</v>
      </c>
      <c r="H52" s="419" t="str">
        <f t="shared" si="3"/>
        <v>Esp. en Alta Gerencia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05020102</v>
      </c>
      <c r="H53" s="419" t="str">
        <f t="shared" si="3"/>
        <v>Esp. en Alta Gerencia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05020102</v>
      </c>
      <c r="H54" s="419" t="str">
        <f t="shared" si="3"/>
        <v>Esp. en Alta Gerencia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05020102</v>
      </c>
      <c r="H55" s="419" t="str">
        <f t="shared" si="3"/>
        <v>Esp. en Alta Gerencia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05020102</v>
      </c>
      <c r="H56" s="419" t="str">
        <f t="shared" si="3"/>
        <v>Esp. en Alta Gerencia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05020102</v>
      </c>
      <c r="H57" s="419" t="str">
        <f t="shared" si="3"/>
        <v>Esp. en Alta Gerencia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05020102</v>
      </c>
      <c r="H58" s="419" t="str">
        <f t="shared" si="3"/>
        <v>Esp. en Alta Gerencia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05020102</v>
      </c>
      <c r="H59" s="419" t="str">
        <f t="shared" si="3"/>
        <v>Esp. en Alta Gerencia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05020102</v>
      </c>
      <c r="H60" s="419" t="str">
        <f t="shared" si="3"/>
        <v>Esp. en Alta Gerencia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05020102</v>
      </c>
      <c r="H61" s="419" t="str">
        <f t="shared" si="3"/>
        <v>Esp. en Alta Gerencia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05020102</v>
      </c>
      <c r="H62" s="419" t="str">
        <f t="shared" si="3"/>
        <v>Esp. en Alta Gerencia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1034F-38AA-47F8-93AF-A322EDA1F981}">
  <dimension ref="A1:N64"/>
  <sheetViews>
    <sheetView showGridLines="0" zoomScale="90" zoomScaleNormal="90" workbookViewId="0">
      <selection activeCell="B7" sqref="B7:C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5" t="s">
        <v>1136</v>
      </c>
      <c r="B1" s="595"/>
      <c r="C1" s="595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6">
        <v>6.5000000000000002E-2</v>
      </c>
      <c r="C2" s="596"/>
      <c r="D2" t="s">
        <v>1139</v>
      </c>
      <c r="H2" t="str">
        <f>+INGRESOS!A10</f>
        <v>Esp. en Alta Gerencia</v>
      </c>
      <c r="L2" t="s">
        <v>1140</v>
      </c>
      <c r="M2" s="416">
        <v>44108</v>
      </c>
    </row>
    <row r="3" spans="1:13">
      <c r="A3" t="s">
        <v>1141</v>
      </c>
      <c r="B3" s="594">
        <f>MROUND((93500*1.05),100)</f>
        <v>98200</v>
      </c>
      <c r="C3" s="594"/>
      <c r="D3" t="s">
        <v>1142</v>
      </c>
      <c r="H3" s="426">
        <v>43966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4">
        <f>MROUND(1000000*1.05,1000)</f>
        <v>1050000</v>
      </c>
      <c r="C4" s="594"/>
      <c r="D4" t="s">
        <v>1146</v>
      </c>
      <c r="H4" t="str">
        <f>+TOTAL!C9</f>
        <v>FACULTAD DE INGENIERIA</v>
      </c>
      <c r="L4" t="s">
        <v>1147</v>
      </c>
      <c r="M4" s="417">
        <v>0</v>
      </c>
    </row>
    <row r="5" spans="1:13">
      <c r="A5" t="s">
        <v>1148</v>
      </c>
      <c r="B5" s="594">
        <v>350000</v>
      </c>
      <c r="C5" s="594"/>
      <c r="D5" t="s">
        <v>1149</v>
      </c>
      <c r="H5" s="425">
        <f>256+224</f>
        <v>480</v>
      </c>
      <c r="I5" t="s">
        <v>1150</v>
      </c>
      <c r="L5" t="s">
        <v>1151</v>
      </c>
      <c r="M5" s="417">
        <f>MONTH(H3)</f>
        <v>5</v>
      </c>
    </row>
    <row r="6" spans="1:13">
      <c r="A6" t="s">
        <v>1152</v>
      </c>
      <c r="B6" s="594">
        <v>260000</v>
      </c>
      <c r="C6" s="594"/>
      <c r="D6" t="s">
        <v>1269</v>
      </c>
      <c r="H6" s="425">
        <f>32*4</f>
        <v>128</v>
      </c>
      <c r="I6" t="s">
        <v>1150</v>
      </c>
      <c r="L6" t="s">
        <v>1153</v>
      </c>
      <c r="M6" s="417">
        <f>M5-1</f>
        <v>4</v>
      </c>
    </row>
    <row r="7" spans="1:13">
      <c r="A7" t="s">
        <v>1154</v>
      </c>
      <c r="B7" s="594">
        <v>109000</v>
      </c>
      <c r="C7" s="594"/>
      <c r="D7" t="s">
        <v>1270</v>
      </c>
      <c r="H7" s="425">
        <f>3*4</f>
        <v>12</v>
      </c>
    </row>
    <row r="8" spans="1:13">
      <c r="D8" t="s">
        <v>1155</v>
      </c>
      <c r="H8" s="425">
        <v>26</v>
      </c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4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05020102</v>
      </c>
      <c r="H16" s="415" t="str">
        <f>+$H$2</f>
        <v>Esp. en Alta Gerencia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4056000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05020102</v>
      </c>
      <c r="H17" s="415" t="str">
        <f t="shared" ref="H17:H29" si="0">+$H$2</f>
        <v>Esp. en Alta Gerencia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115319000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05020102</v>
      </c>
      <c r="H18" s="415" t="str">
        <f t="shared" si="0"/>
        <v>Esp. en Alta Gerencia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05020102</v>
      </c>
      <c r="H19" s="415" t="str">
        <f t="shared" si="0"/>
        <v>Esp. en Alta Gerencia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05020102</v>
      </c>
      <c r="H20" s="415" t="str">
        <f t="shared" si="0"/>
        <v>Esp. en Alta Gerencia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05020102</v>
      </c>
      <c r="H21" s="415" t="str">
        <f t="shared" si="0"/>
        <v>Esp. en Alta Gerencia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05020102</v>
      </c>
      <c r="H22" s="415" t="str">
        <f t="shared" si="0"/>
        <v>Esp. en Alta Gerencia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05020102</v>
      </c>
      <c r="H23" s="415" t="str">
        <f t="shared" si="0"/>
        <v>Esp. en Alta Gerencia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05020102</v>
      </c>
      <c r="H24" s="415" t="str">
        <f t="shared" si="0"/>
        <v>Esp. en Alta Gerencia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05020102</v>
      </c>
      <c r="H25" s="415" t="str">
        <f t="shared" si="0"/>
        <v>Esp. en Alta Gerencia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05020102</v>
      </c>
      <c r="H26" s="415" t="str">
        <f t="shared" si="0"/>
        <v>Esp. en Alta Gerencia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05020102</v>
      </c>
      <c r="H27" s="415" t="str">
        <f t="shared" si="0"/>
        <v>Esp. en Alta Gerencia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05020102</v>
      </c>
      <c r="H28" s="415" t="str">
        <f t="shared" si="0"/>
        <v>Esp. en Alta Gerencia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115000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05020102</v>
      </c>
      <c r="H29" s="415" t="str">
        <f t="shared" si="0"/>
        <v>Esp. en Alta Gerencia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346000</v>
      </c>
      <c r="N29" s="423">
        <f>+SUM(M16:M29)</f>
        <v>119836000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05020102</v>
      </c>
      <c r="H32" s="419" t="str">
        <f>+$H$29</f>
        <v>Esp. en Alta Gerencia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4200000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05020102</v>
      </c>
      <c r="H33" s="419" t="str">
        <f t="shared" ref="H33:H62" si="3">+$H$29</f>
        <v>Esp. en Alta Gerencia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MROUND($H$6*$B$3*65%,1000)</f>
        <v>8170000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05020102</v>
      </c>
      <c r="H34" s="419" t="str">
        <f t="shared" si="3"/>
        <v>Esp. en Alta Gerencia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MROUND($H$6*$B$3*18%,1000)</f>
        <v>2263000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05020102</v>
      </c>
      <c r="H35" s="419" t="str">
        <f t="shared" si="3"/>
        <v>Esp. en Alta Gerencia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MROUND($H$6*$B$3*10%,1000)</f>
        <v>1257000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05020102</v>
      </c>
      <c r="H36" s="419" t="str">
        <f t="shared" si="3"/>
        <v>Esp. en Alta Gerencia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MROUND($H$6*$B$3*4%,1000)</f>
        <v>503000</v>
      </c>
      <c r="N36" t="s">
        <v>1276</v>
      </c>
    </row>
    <row r="37" spans="1:14">
      <c r="G37" t="str">
        <f t="shared" si="2"/>
        <v>05020102</v>
      </c>
      <c r="H37" s="419" t="str">
        <f t="shared" si="3"/>
        <v>Esp. en Alta Gerencia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05020102</v>
      </c>
      <c r="H38" s="419" t="str">
        <f t="shared" si="3"/>
        <v>Esp. en Alta Gerencia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628000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05020102</v>
      </c>
      <c r="H39" s="419" t="str">
        <f t="shared" si="3"/>
        <v>Esp. en Alta Gerencia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05020102</v>
      </c>
      <c r="H40" s="419" t="str">
        <f t="shared" si="3"/>
        <v>Esp. en Alta Gerencia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+MROUND((H8*3000*3/12*M6),1000)</f>
        <v>78000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05020102</v>
      </c>
      <c r="H41" s="419" t="str">
        <f t="shared" si="3"/>
        <v>Esp. en Alta Gerencia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+MROUND((B7+(B6*1))*H7*50%,1000)</f>
        <v>2214000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05020102</v>
      </c>
      <c r="H42" s="419" t="str">
        <f t="shared" si="3"/>
        <v>Esp. en Alta Gerencia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2520000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05020102</v>
      </c>
      <c r="H43" s="419" t="str">
        <f t="shared" si="3"/>
        <v>Esp. en Alta Gerencia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+MROUND($H$7*$B$5*3%,1000)</f>
        <v>126000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05020102</v>
      </c>
      <c r="H44" s="419" t="str">
        <f t="shared" si="3"/>
        <v>Esp. en Alta Gerencia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1960000</v>
      </c>
    </row>
    <row r="45" spans="1:14">
      <c r="G45" t="str">
        <f t="shared" si="2"/>
        <v>05020102</v>
      </c>
      <c r="H45" s="419" t="str">
        <f t="shared" si="3"/>
        <v>Esp. en Alta Gerencia</v>
      </c>
      <c r="M45" s="394"/>
    </row>
    <row r="46" spans="1:14">
      <c r="G46" t="str">
        <f t="shared" si="2"/>
        <v>05020102</v>
      </c>
      <c r="H46" s="419" t="str">
        <f t="shared" si="3"/>
        <v>Esp. en Alta Gerencia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05020102</v>
      </c>
      <c r="H47" s="419" t="str">
        <f t="shared" si="3"/>
        <v>Esp. en Alta Gerencia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05020102</v>
      </c>
      <c r="H48" s="419" t="str">
        <f t="shared" si="3"/>
        <v>Esp. en Alta Gerencia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05020102</v>
      </c>
      <c r="H49" s="419" t="str">
        <f t="shared" si="3"/>
        <v>Esp. en Alta Gerencia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05020102</v>
      </c>
      <c r="H50" s="419" t="str">
        <f t="shared" si="3"/>
        <v>Esp. en Alta Gerencia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05020102</v>
      </c>
      <c r="H51" s="419" t="str">
        <f t="shared" si="3"/>
        <v>Esp. en Alta Gerencia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05020102</v>
      </c>
      <c r="H52" s="419" t="str">
        <f t="shared" si="3"/>
        <v>Esp. en Alta Gerencia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05020102</v>
      </c>
      <c r="H53" s="419" t="str">
        <f t="shared" si="3"/>
        <v>Esp. en Alta Gerencia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05020102</v>
      </c>
      <c r="H54" s="419" t="str">
        <f t="shared" si="3"/>
        <v>Esp. en Alta Gerencia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05020102</v>
      </c>
      <c r="H55" s="419" t="str">
        <f t="shared" si="3"/>
        <v>Esp. en Alta Gerencia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05020102</v>
      </c>
      <c r="H56" s="419" t="str">
        <f t="shared" si="3"/>
        <v>Esp. en Alta Gerencia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05020102</v>
      </c>
      <c r="H57" s="419" t="str">
        <f t="shared" si="3"/>
        <v>Esp. en Alta Gerencia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05020102</v>
      </c>
      <c r="H58" s="419" t="str">
        <f t="shared" si="3"/>
        <v>Esp. en Alta Gerencia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05020102</v>
      </c>
      <c r="H59" s="419" t="str">
        <f t="shared" si="3"/>
        <v>Esp. en Alta Gerencia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446000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05020102</v>
      </c>
      <c r="H60" s="419" t="str">
        <f t="shared" si="3"/>
        <v>Esp. en Alta Gerencia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3581000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05020102</v>
      </c>
      <c r="H61" s="419" t="str">
        <f t="shared" si="3"/>
        <v>Esp. en Alta Gerencia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05020102</v>
      </c>
      <c r="H62" s="419" t="str">
        <f t="shared" si="3"/>
        <v>Esp. en Alta Gerencia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27946000</v>
      </c>
    </row>
    <row r="64" spans="1:14">
      <c r="N64" s="424">
        <f>+N29-N62</f>
        <v>91890000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61D16-A9B1-42FC-B4FF-E0382D22D2DA}">
  <dimension ref="A1:N64"/>
  <sheetViews>
    <sheetView showGridLines="0" zoomScale="90" zoomScaleNormal="90" workbookViewId="0">
      <selection activeCell="B7" sqref="B7:C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5" t="s">
        <v>1136</v>
      </c>
      <c r="B1" s="595"/>
      <c r="C1" s="595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6">
        <v>6.5000000000000002E-2</v>
      </c>
      <c r="C2" s="596"/>
      <c r="D2" t="s">
        <v>1139</v>
      </c>
      <c r="H2" t="str">
        <f>+INGRESOS!A10</f>
        <v>Esp. en Alta Gerencia</v>
      </c>
      <c r="L2" t="s">
        <v>1140</v>
      </c>
      <c r="M2" s="416">
        <v>44108</v>
      </c>
    </row>
    <row r="3" spans="1:13">
      <c r="A3" t="s">
        <v>1141</v>
      </c>
      <c r="B3" s="594">
        <f>MROUND((93500*1.05),100)</f>
        <v>98200</v>
      </c>
      <c r="C3" s="594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4">
        <f>MROUND(1000000*1.05,1000)</f>
        <v>1050000</v>
      </c>
      <c r="C4" s="594"/>
      <c r="D4" t="s">
        <v>1146</v>
      </c>
      <c r="H4" t="str">
        <f>+TOTAL!C9</f>
        <v>FACULTAD DE INGENIERIA</v>
      </c>
      <c r="L4" t="s">
        <v>1147</v>
      </c>
      <c r="M4" s="417">
        <v>0</v>
      </c>
    </row>
    <row r="5" spans="1:13">
      <c r="A5" t="s">
        <v>1148</v>
      </c>
      <c r="B5" s="594">
        <v>350000</v>
      </c>
      <c r="C5" s="594"/>
      <c r="D5" t="s">
        <v>1149</v>
      </c>
      <c r="H5" s="425">
        <f>256+224</f>
        <v>480</v>
      </c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4">
        <v>260000</v>
      </c>
      <c r="C6" s="594"/>
      <c r="D6" t="s">
        <v>1269</v>
      </c>
      <c r="H6" s="425">
        <f>32*5</f>
        <v>160</v>
      </c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4">
        <v>109000</v>
      </c>
      <c r="C7" s="594"/>
      <c r="D7" t="s">
        <v>1270</v>
      </c>
      <c r="H7" s="425">
        <f>3*5</f>
        <v>15</v>
      </c>
    </row>
    <row r="8" spans="1:13">
      <c r="D8" t="s">
        <v>1155</v>
      </c>
      <c r="H8" s="425">
        <v>25</v>
      </c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05020102</v>
      </c>
      <c r="H16" s="415" t="str">
        <f>+$H$2</f>
        <v>Esp. en Alta Gerencia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3900000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05020102</v>
      </c>
      <c r="H17" s="415" t="str">
        <f t="shared" ref="H17:H29" si="0">+$H$2</f>
        <v>Esp. en Alta Gerencia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138604000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05020102</v>
      </c>
      <c r="H18" s="415" t="str">
        <f t="shared" si="0"/>
        <v>Esp. en Alta Gerencia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05020102</v>
      </c>
      <c r="H19" s="415" t="str">
        <f t="shared" si="0"/>
        <v>Esp. en Alta Gerencia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05020102</v>
      </c>
      <c r="H20" s="415" t="str">
        <f t="shared" si="0"/>
        <v>Esp. en Alta Gerencia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05020102</v>
      </c>
      <c r="H21" s="415" t="str">
        <f t="shared" si="0"/>
        <v>Esp. en Alta Gerencia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05020102</v>
      </c>
      <c r="H22" s="415" t="str">
        <f t="shared" si="0"/>
        <v>Esp. en Alta Gerencia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05020102</v>
      </c>
      <c r="H23" s="415" t="str">
        <f t="shared" si="0"/>
        <v>Esp. en Alta Gerencia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05020102</v>
      </c>
      <c r="H24" s="415" t="str">
        <f t="shared" si="0"/>
        <v>Esp. en Alta Gerencia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05020102</v>
      </c>
      <c r="H25" s="415" t="str">
        <f t="shared" si="0"/>
        <v>Esp. en Alta Gerencia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05020102</v>
      </c>
      <c r="H26" s="415" t="str">
        <f t="shared" si="0"/>
        <v>Esp. en Alta Gerencia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05020102</v>
      </c>
      <c r="H27" s="415" t="str">
        <f t="shared" si="0"/>
        <v>Esp. en Alta Gerencia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05020102</v>
      </c>
      <c r="H28" s="415" t="str">
        <f t="shared" si="0"/>
        <v>Esp. en Alta Gerencia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139000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05020102</v>
      </c>
      <c r="H29" s="415" t="str">
        <f t="shared" si="0"/>
        <v>Esp. en Alta Gerencia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416000</v>
      </c>
      <c r="N29" s="423">
        <f>+SUM(M16:M29)</f>
        <v>143059000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05020102</v>
      </c>
      <c r="H32" s="419" t="str">
        <f>+$H$29</f>
        <v>Esp. en Alta Gerencia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5250000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05020102</v>
      </c>
      <c r="H33" s="419" t="str">
        <f t="shared" ref="H33:H62" si="3">+$H$29</f>
        <v>Esp. en Alta Gerencia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MROUND($H$6*$B$3*65%,1000)</f>
        <v>10213000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05020102</v>
      </c>
      <c r="H34" s="419" t="str">
        <f t="shared" si="3"/>
        <v>Esp. en Alta Gerencia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MROUND($H$6*$B$3*18%,1000)</f>
        <v>2828000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05020102</v>
      </c>
      <c r="H35" s="419" t="str">
        <f t="shared" si="3"/>
        <v>Esp. en Alta Gerencia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MROUND($H$6*$B$3*10%,1000)</f>
        <v>1571000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05020102</v>
      </c>
      <c r="H36" s="419" t="str">
        <f t="shared" si="3"/>
        <v>Esp. en Alta Gerencia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MROUND($H$6*$B$3*4%,1000)</f>
        <v>628000</v>
      </c>
      <c r="N36" t="s">
        <v>1276</v>
      </c>
    </row>
    <row r="37" spans="1:14">
      <c r="G37" t="str">
        <f t="shared" si="2"/>
        <v>05020102</v>
      </c>
      <c r="H37" s="419" t="str">
        <f t="shared" si="3"/>
        <v>Esp. en Alta Gerencia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05020102</v>
      </c>
      <c r="H38" s="419" t="str">
        <f t="shared" si="3"/>
        <v>Esp. en Alta Gerencia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786000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05020102</v>
      </c>
      <c r="H39" s="419" t="str">
        <f t="shared" si="3"/>
        <v>Esp. en Alta Gerencia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05020102</v>
      </c>
      <c r="H40" s="419" t="str">
        <f t="shared" si="3"/>
        <v>Esp. en Alta Gerencia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+MROUND((H8*3000*3/12*M6),1000)</f>
        <v>94000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05020102</v>
      </c>
      <c r="H41" s="419" t="str">
        <f t="shared" si="3"/>
        <v>Esp. en Alta Gerencia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+MROUND((B7+(B6*1))*H7*50%,1000)</f>
        <v>2768000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05020102</v>
      </c>
      <c r="H42" s="419" t="str">
        <f t="shared" si="3"/>
        <v>Esp. en Alta Gerencia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3150000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05020102</v>
      </c>
      <c r="H43" s="419" t="str">
        <f t="shared" si="3"/>
        <v>Esp. en Alta Gerencia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+MROUND($H$7*$B$5*3%,1000)</f>
        <v>158000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05020102</v>
      </c>
      <c r="H44" s="419" t="str">
        <f t="shared" si="3"/>
        <v>Esp. en Alta Gerencia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2356000</v>
      </c>
    </row>
    <row r="45" spans="1:14">
      <c r="G45" t="str">
        <f t="shared" si="2"/>
        <v>05020102</v>
      </c>
      <c r="H45" s="419" t="str">
        <f t="shared" si="3"/>
        <v>Esp. en Alta Gerencia</v>
      </c>
      <c r="M45" s="394"/>
    </row>
    <row r="46" spans="1:14">
      <c r="G46" t="str">
        <f t="shared" si="2"/>
        <v>05020102</v>
      </c>
      <c r="H46" s="419" t="str">
        <f t="shared" si="3"/>
        <v>Esp. en Alta Gerencia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05020102</v>
      </c>
      <c r="H47" s="419" t="str">
        <f t="shared" si="3"/>
        <v>Esp. en Alta Gerencia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05020102</v>
      </c>
      <c r="H48" s="419" t="str">
        <f t="shared" si="3"/>
        <v>Esp. en Alta Gerencia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05020102</v>
      </c>
      <c r="H49" s="419" t="str">
        <f t="shared" si="3"/>
        <v>Esp. en Alta Gerencia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05020102</v>
      </c>
      <c r="H50" s="419" t="str">
        <f t="shared" si="3"/>
        <v>Esp. en Alta Gerencia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05020102</v>
      </c>
      <c r="H51" s="419" t="str">
        <f t="shared" si="3"/>
        <v>Esp. en Alta Gerencia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05020102</v>
      </c>
      <c r="H52" s="419" t="str">
        <f t="shared" si="3"/>
        <v>Esp. en Alta Gerencia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05020102</v>
      </c>
      <c r="H53" s="419" t="str">
        <f t="shared" si="3"/>
        <v>Esp. en Alta Gerencia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05020102</v>
      </c>
      <c r="H54" s="419" t="str">
        <f t="shared" si="3"/>
        <v>Esp. en Alta Gerencia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05020102</v>
      </c>
      <c r="H55" s="419" t="str">
        <f t="shared" si="3"/>
        <v>Esp. en Alta Gerencia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05020102</v>
      </c>
      <c r="H56" s="419" t="str">
        <f t="shared" si="3"/>
        <v>Esp. en Alta Gerencia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05020102</v>
      </c>
      <c r="H57" s="419" t="str">
        <f t="shared" si="3"/>
        <v>Esp. en Alta Gerencia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05020102</v>
      </c>
      <c r="H58" s="419" t="str">
        <f t="shared" si="3"/>
        <v>Esp. en Alta Gerencia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05020102</v>
      </c>
      <c r="H59" s="419" t="str">
        <f t="shared" si="3"/>
        <v>Esp. en Alta Gerencia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532000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05020102</v>
      </c>
      <c r="H60" s="419" t="str">
        <f t="shared" si="3"/>
        <v>Esp. en Alta Gerencia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4275000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05020102</v>
      </c>
      <c r="H61" s="419" t="str">
        <f t="shared" si="3"/>
        <v>Esp. en Alta Gerencia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05020102</v>
      </c>
      <c r="H62" s="419" t="str">
        <f t="shared" si="3"/>
        <v>Esp. en Alta Gerencia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34609000</v>
      </c>
    </row>
    <row r="64" spans="1:14">
      <c r="N64" s="424">
        <f>+N29-N62</f>
        <v>108450000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6B332-50A9-4F01-B791-E2F4E7FE20F9}">
  <dimension ref="A1:N64"/>
  <sheetViews>
    <sheetView showGridLines="0" zoomScale="90" zoomScaleNormal="90" workbookViewId="0">
      <selection activeCell="B7" sqref="B7:C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5" t="s">
        <v>1136</v>
      </c>
      <c r="B1" s="595"/>
      <c r="C1" s="595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6">
        <v>6.5000000000000002E-2</v>
      </c>
      <c r="C2" s="596"/>
      <c r="D2" t="s">
        <v>1139</v>
      </c>
      <c r="H2" t="str">
        <f>+INGRESOS!A10</f>
        <v>Esp. en Alta Gerencia</v>
      </c>
      <c r="L2" t="s">
        <v>1140</v>
      </c>
      <c r="M2" s="416">
        <v>44108</v>
      </c>
    </row>
    <row r="3" spans="1:13">
      <c r="A3" t="s">
        <v>1141</v>
      </c>
      <c r="B3" s="594">
        <f>MROUND((93500*1.05),100)</f>
        <v>98200</v>
      </c>
      <c r="C3" s="594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4">
        <f>MROUND(1000000*1.05,1000)</f>
        <v>1050000</v>
      </c>
      <c r="C4" s="594"/>
      <c r="D4" t="s">
        <v>1146</v>
      </c>
      <c r="H4" t="str">
        <f>+TOTAL!C9</f>
        <v>FACULTAD DE INGENIERIA</v>
      </c>
      <c r="L4" t="s">
        <v>1147</v>
      </c>
      <c r="M4" s="417">
        <v>0</v>
      </c>
    </row>
    <row r="5" spans="1:13">
      <c r="A5" t="s">
        <v>1148</v>
      </c>
      <c r="B5" s="594">
        <v>350000</v>
      </c>
      <c r="C5" s="594"/>
      <c r="D5" t="s">
        <v>1149</v>
      </c>
      <c r="H5" s="425">
        <f>256+224</f>
        <v>480</v>
      </c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4">
        <v>260000</v>
      </c>
      <c r="C6" s="594"/>
      <c r="D6" t="s">
        <v>1269</v>
      </c>
      <c r="H6" s="425">
        <f>32*6</f>
        <v>192</v>
      </c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4">
        <v>109000</v>
      </c>
      <c r="C7" s="594"/>
      <c r="D7" t="s">
        <v>1270</v>
      </c>
      <c r="H7" s="425">
        <f>3*6</f>
        <v>18</v>
      </c>
    </row>
    <row r="8" spans="1:13">
      <c r="D8" t="s">
        <v>1155</v>
      </c>
      <c r="H8" s="425">
        <v>21</v>
      </c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05020102</v>
      </c>
      <c r="H16" s="415" t="str">
        <f>+$H$2</f>
        <v>Esp. en Alta Gerencia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3276000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05020102</v>
      </c>
      <c r="H17" s="415" t="str">
        <f t="shared" ref="H17:H29" si="0">+$H$2</f>
        <v>Esp. en Alta Gerencia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116428000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05020102</v>
      </c>
      <c r="H18" s="415" t="str">
        <f t="shared" si="0"/>
        <v>Esp. en Alta Gerencia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05020102</v>
      </c>
      <c r="H19" s="415" t="str">
        <f t="shared" si="0"/>
        <v>Esp. en Alta Gerencia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05020102</v>
      </c>
      <c r="H20" s="415" t="str">
        <f t="shared" si="0"/>
        <v>Esp. en Alta Gerencia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05020102</v>
      </c>
      <c r="H21" s="415" t="str">
        <f t="shared" si="0"/>
        <v>Esp. en Alta Gerencia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05020102</v>
      </c>
      <c r="H22" s="415" t="str">
        <f t="shared" si="0"/>
        <v>Esp. en Alta Gerencia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05020102</v>
      </c>
      <c r="H23" s="415" t="str">
        <f t="shared" si="0"/>
        <v>Esp. en Alta Gerencia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05020102</v>
      </c>
      <c r="H24" s="415" t="str">
        <f t="shared" si="0"/>
        <v>Esp. en Alta Gerencia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05020102</v>
      </c>
      <c r="H25" s="415" t="str">
        <f t="shared" si="0"/>
        <v>Esp. en Alta Gerencia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05020102</v>
      </c>
      <c r="H26" s="415" t="str">
        <f t="shared" si="0"/>
        <v>Esp. en Alta Gerencia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05020102</v>
      </c>
      <c r="H27" s="415" t="str">
        <f t="shared" si="0"/>
        <v>Esp. en Alta Gerencia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05020102</v>
      </c>
      <c r="H28" s="415" t="str">
        <f t="shared" si="0"/>
        <v>Esp. en Alta Gerencia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116000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05020102</v>
      </c>
      <c r="H29" s="415" t="str">
        <f t="shared" si="0"/>
        <v>Esp. en Alta Gerencia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349000</v>
      </c>
      <c r="N29" s="423">
        <f>+SUM(M16:M29)</f>
        <v>120169000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05020102</v>
      </c>
      <c r="H32" s="419" t="str">
        <f>+$H$29</f>
        <v>Esp. en Alta Gerencia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5250000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05020102</v>
      </c>
      <c r="H33" s="419" t="str">
        <f t="shared" ref="H33:H62" si="3">+$H$29</f>
        <v>Esp. en Alta Gerencia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MROUND($H$6*$B$3*65%,1000)</f>
        <v>12255000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05020102</v>
      </c>
      <c r="H34" s="419" t="str">
        <f t="shared" si="3"/>
        <v>Esp. en Alta Gerencia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MROUND($H$6*$B$3*18%,1000)</f>
        <v>3394000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05020102</v>
      </c>
      <c r="H35" s="419" t="str">
        <f t="shared" si="3"/>
        <v>Esp. en Alta Gerencia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MROUND($H$6*$B$3*10%,1000)</f>
        <v>1885000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05020102</v>
      </c>
      <c r="H36" s="419" t="str">
        <f t="shared" si="3"/>
        <v>Esp. en Alta Gerencia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MROUND($H$6*$B$3*4%,1000)</f>
        <v>754000</v>
      </c>
      <c r="N36" t="s">
        <v>1276</v>
      </c>
    </row>
    <row r="37" spans="1:14">
      <c r="G37" t="str">
        <f t="shared" si="2"/>
        <v>05020102</v>
      </c>
      <c r="H37" s="419" t="str">
        <f t="shared" si="3"/>
        <v>Esp. en Alta Gerencia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05020102</v>
      </c>
      <c r="H38" s="419" t="str">
        <f t="shared" si="3"/>
        <v>Esp. en Alta Gerencia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943000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05020102</v>
      </c>
      <c r="H39" s="419" t="str">
        <f t="shared" si="3"/>
        <v>Esp. en Alta Gerencia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05020102</v>
      </c>
      <c r="H40" s="419" t="str">
        <f t="shared" si="3"/>
        <v>Esp. en Alta Gerencia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+MROUND((H8*3000*3/12*M6),1000)</f>
        <v>79000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05020102</v>
      </c>
      <c r="H41" s="419" t="str">
        <f t="shared" si="3"/>
        <v>Esp. en Alta Gerencia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+MROUND((B7+(B6*1))*H7*50%,1000)</f>
        <v>3321000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05020102</v>
      </c>
      <c r="H42" s="419" t="str">
        <f t="shared" si="3"/>
        <v>Esp. en Alta Gerencia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3780000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05020102</v>
      </c>
      <c r="H43" s="419" t="str">
        <f t="shared" si="3"/>
        <v>Esp. en Alta Gerencia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+MROUND($H$7*$B$5*3%,1000)</f>
        <v>189000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05020102</v>
      </c>
      <c r="H44" s="419" t="str">
        <f t="shared" si="3"/>
        <v>Esp. en Alta Gerencia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1979000</v>
      </c>
    </row>
    <row r="45" spans="1:14">
      <c r="G45" t="str">
        <f t="shared" si="2"/>
        <v>05020102</v>
      </c>
      <c r="H45" s="419" t="str">
        <f t="shared" si="3"/>
        <v>Esp. en Alta Gerencia</v>
      </c>
      <c r="M45" s="394"/>
    </row>
    <row r="46" spans="1:14">
      <c r="G46" t="str">
        <f t="shared" si="2"/>
        <v>05020102</v>
      </c>
      <c r="H46" s="419" t="str">
        <f t="shared" si="3"/>
        <v>Esp. en Alta Gerencia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05020102</v>
      </c>
      <c r="H47" s="419" t="str">
        <f t="shared" si="3"/>
        <v>Esp. en Alta Gerencia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05020102</v>
      </c>
      <c r="H48" s="419" t="str">
        <f t="shared" si="3"/>
        <v>Esp. en Alta Gerencia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05020102</v>
      </c>
      <c r="H49" s="419" t="str">
        <f t="shared" si="3"/>
        <v>Esp. en Alta Gerencia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05020102</v>
      </c>
      <c r="H50" s="419" t="str">
        <f t="shared" si="3"/>
        <v>Esp. en Alta Gerencia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05020102</v>
      </c>
      <c r="H51" s="419" t="str">
        <f t="shared" si="3"/>
        <v>Esp. en Alta Gerencia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05020102</v>
      </c>
      <c r="H52" s="419" t="str">
        <f t="shared" si="3"/>
        <v>Esp. en Alta Gerencia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05020102</v>
      </c>
      <c r="H53" s="419" t="str">
        <f t="shared" si="3"/>
        <v>Esp. en Alta Gerencia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05020102</v>
      </c>
      <c r="H54" s="419" t="str">
        <f t="shared" si="3"/>
        <v>Esp. en Alta Gerencia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05020102</v>
      </c>
      <c r="H55" s="419" t="str">
        <f t="shared" si="3"/>
        <v>Esp. en Alta Gerencia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05020102</v>
      </c>
      <c r="H56" s="419" t="str">
        <f t="shared" si="3"/>
        <v>Esp. en Alta Gerencia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05020102</v>
      </c>
      <c r="H57" s="419" t="str">
        <f t="shared" si="3"/>
        <v>Esp. en Alta Gerencia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05020102</v>
      </c>
      <c r="H58" s="419" t="str">
        <f t="shared" si="3"/>
        <v>Esp. en Alta Gerencia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05020102</v>
      </c>
      <c r="H59" s="419" t="str">
        <f t="shared" si="3"/>
        <v>Esp. en Alta Gerencia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447000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05020102</v>
      </c>
      <c r="H60" s="419" t="str">
        <f t="shared" si="3"/>
        <v>Esp. en Alta Gerencia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3591000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05020102</v>
      </c>
      <c r="H61" s="419" t="str">
        <f t="shared" si="3"/>
        <v>Esp. en Alta Gerencia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05020102</v>
      </c>
      <c r="H62" s="419" t="str">
        <f t="shared" si="3"/>
        <v>Esp. en Alta Gerencia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37867000</v>
      </c>
    </row>
    <row r="64" spans="1:14">
      <c r="N64" s="424">
        <f>+N29-N62</f>
        <v>82302000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3D673-E8BC-4963-8487-C2B15A6E5F2F}">
  <dimension ref="A1:N64"/>
  <sheetViews>
    <sheetView showGridLines="0" topLeftCell="A46" zoomScale="90" zoomScaleNormal="90" workbookViewId="0">
      <selection activeCell="B7" sqref="B7:C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5" t="s">
        <v>1136</v>
      </c>
      <c r="B1" s="595"/>
      <c r="C1" s="595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6">
        <v>6.5000000000000002E-2</v>
      </c>
      <c r="C2" s="596"/>
      <c r="D2" t="s">
        <v>1139</v>
      </c>
      <c r="H2" t="str">
        <f>+INGRESOS!A10</f>
        <v>Esp. en Alta Gerencia</v>
      </c>
      <c r="L2" t="s">
        <v>1140</v>
      </c>
      <c r="M2" s="416">
        <v>44108</v>
      </c>
    </row>
    <row r="3" spans="1:13">
      <c r="A3" t="s">
        <v>1141</v>
      </c>
      <c r="B3" s="594">
        <f>MROUND((93500*1.05),100)</f>
        <v>98200</v>
      </c>
      <c r="C3" s="594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4">
        <f>MROUND(1000000*1.05,1000)</f>
        <v>1050000</v>
      </c>
      <c r="C4" s="594"/>
      <c r="D4" t="s">
        <v>1146</v>
      </c>
      <c r="H4" t="str">
        <f>+TOTAL!C9</f>
        <v>FACULTAD DE INGENIERIA</v>
      </c>
      <c r="L4" t="s">
        <v>1147</v>
      </c>
      <c r="M4" s="417">
        <v>0</v>
      </c>
    </row>
    <row r="5" spans="1:13">
      <c r="A5" t="s">
        <v>1148</v>
      </c>
      <c r="B5" s="594">
        <v>350000</v>
      </c>
      <c r="C5" s="594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4">
        <v>260000</v>
      </c>
      <c r="C6" s="594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4">
        <v>109000</v>
      </c>
      <c r="C7" s="594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05020102</v>
      </c>
      <c r="H16" s="415" t="str">
        <f>+$H$2</f>
        <v>Esp. en Alta Gerencia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05020102</v>
      </c>
      <c r="H17" s="415" t="str">
        <f t="shared" ref="H17:H29" si="0">+$H$2</f>
        <v>Esp. en Alta Gerencia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05020102</v>
      </c>
      <c r="H18" s="415" t="str">
        <f t="shared" si="0"/>
        <v>Esp. en Alta Gerencia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05020102</v>
      </c>
      <c r="H19" s="415" t="str">
        <f t="shared" si="0"/>
        <v>Esp. en Alta Gerencia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05020102</v>
      </c>
      <c r="H20" s="415" t="str">
        <f t="shared" si="0"/>
        <v>Esp. en Alta Gerencia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05020102</v>
      </c>
      <c r="H21" s="415" t="str">
        <f t="shared" si="0"/>
        <v>Esp. en Alta Gerencia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05020102</v>
      </c>
      <c r="H22" s="415" t="str">
        <f t="shared" si="0"/>
        <v>Esp. en Alta Gerencia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05020102</v>
      </c>
      <c r="H23" s="415" t="str">
        <f t="shared" si="0"/>
        <v>Esp. en Alta Gerencia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05020102</v>
      </c>
      <c r="H24" s="415" t="str">
        <f t="shared" si="0"/>
        <v>Esp. en Alta Gerencia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05020102</v>
      </c>
      <c r="H25" s="415" t="str">
        <f t="shared" si="0"/>
        <v>Esp. en Alta Gerencia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05020102</v>
      </c>
      <c r="H26" s="415" t="str">
        <f t="shared" si="0"/>
        <v>Esp. en Alta Gerencia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05020102</v>
      </c>
      <c r="H27" s="415" t="str">
        <f t="shared" si="0"/>
        <v>Esp. en Alta Gerencia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05020102</v>
      </c>
      <c r="H28" s="415" t="str">
        <f t="shared" si="0"/>
        <v>Esp. en Alta Gerencia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05020102</v>
      </c>
      <c r="H29" s="415" t="str">
        <f t="shared" si="0"/>
        <v>Esp. en Alta Gerencia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05020102</v>
      </c>
      <c r="H32" s="419" t="str">
        <f>+$H$29</f>
        <v>Esp. en Alta Gerencia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05020102</v>
      </c>
      <c r="H33" s="419" t="str">
        <f t="shared" ref="H33:H62" si="3">+$H$29</f>
        <v>Esp. en Alta Gerencia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MROUND($H$6*$B$3*65%,1000)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05020102</v>
      </c>
      <c r="H34" s="419" t="str">
        <f t="shared" si="3"/>
        <v>Esp. en Alta Gerencia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MROUND($H$6*$B$3*30%,1000)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05020102</v>
      </c>
      <c r="H35" s="419" t="str">
        <f t="shared" si="3"/>
        <v>Esp. en Alta Gerencia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05020102</v>
      </c>
      <c r="H36" s="419" t="str">
        <f t="shared" si="3"/>
        <v>Esp. en Alta Gerencia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0</v>
      </c>
      <c r="N36" t="s">
        <v>1276</v>
      </c>
    </row>
    <row r="37" spans="1:14">
      <c r="G37" t="str">
        <f t="shared" si="2"/>
        <v>05020102</v>
      </c>
      <c r="H37" s="419" t="str">
        <f t="shared" si="3"/>
        <v>Esp. en Alta Gerencia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05020102</v>
      </c>
      <c r="H38" s="419" t="str">
        <f t="shared" si="3"/>
        <v>Esp. en Alta Gerencia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05020102</v>
      </c>
      <c r="H39" s="419" t="str">
        <f t="shared" si="3"/>
        <v>Esp. en Alta Gerencia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05020102</v>
      </c>
      <c r="H40" s="419" t="str">
        <f t="shared" si="3"/>
        <v>Esp. en Alta Gerencia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+MROUND((H8*3000*3/12*M6),1000)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05020102</v>
      </c>
      <c r="H41" s="419" t="str">
        <f t="shared" si="3"/>
        <v>Esp. en Alta Gerencia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+MROUND((B7+(B6*1))*H7*78%,1000)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05020102</v>
      </c>
      <c r="H42" s="419" t="str">
        <f t="shared" si="3"/>
        <v>Esp. en Alta Gerencia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+MROUND((B5*1)*H7*78%,1000)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05020102</v>
      </c>
      <c r="H43" s="419" t="str">
        <f t="shared" si="3"/>
        <v>Esp. en Alta Gerencia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05020102</v>
      </c>
      <c r="H44" s="419" t="str">
        <f t="shared" si="3"/>
        <v>Esp. en Alta Gerencia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05020102</v>
      </c>
      <c r="H45" s="419" t="str">
        <f t="shared" si="3"/>
        <v>Esp. en Alta Gerencia</v>
      </c>
      <c r="M45" s="394"/>
    </row>
    <row r="46" spans="1:14">
      <c r="G46" t="str">
        <f t="shared" si="2"/>
        <v>05020102</v>
      </c>
      <c r="H46" s="419" t="str">
        <f t="shared" si="3"/>
        <v>Esp. en Alta Gerencia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05020102</v>
      </c>
      <c r="H47" s="419" t="str">
        <f t="shared" si="3"/>
        <v>Esp. en Alta Gerencia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05020102</v>
      </c>
      <c r="H48" s="419" t="str">
        <f t="shared" si="3"/>
        <v>Esp. en Alta Gerencia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05020102</v>
      </c>
      <c r="H49" s="419" t="str">
        <f t="shared" si="3"/>
        <v>Esp. en Alta Gerencia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05020102</v>
      </c>
      <c r="H50" s="419" t="str">
        <f t="shared" si="3"/>
        <v>Esp. en Alta Gerencia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05020102</v>
      </c>
      <c r="H51" s="419" t="str">
        <f t="shared" si="3"/>
        <v>Esp. en Alta Gerencia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05020102</v>
      </c>
      <c r="H52" s="419" t="str">
        <f t="shared" si="3"/>
        <v>Esp. en Alta Gerencia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05020102</v>
      </c>
      <c r="H53" s="419" t="str">
        <f t="shared" si="3"/>
        <v>Esp. en Alta Gerencia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05020102</v>
      </c>
      <c r="H54" s="419" t="str">
        <f t="shared" si="3"/>
        <v>Esp. en Alta Gerencia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05020102</v>
      </c>
      <c r="H55" s="419" t="str">
        <f t="shared" si="3"/>
        <v>Esp. en Alta Gerencia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05020102</v>
      </c>
      <c r="H56" s="419" t="str">
        <f t="shared" si="3"/>
        <v>Esp. en Alta Gerencia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05020102</v>
      </c>
      <c r="H57" s="419" t="str">
        <f t="shared" si="3"/>
        <v>Esp. en Alta Gerencia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05020102</v>
      </c>
      <c r="H58" s="419" t="str">
        <f t="shared" si="3"/>
        <v>Esp. en Alta Gerencia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05020102</v>
      </c>
      <c r="H59" s="419" t="str">
        <f t="shared" si="3"/>
        <v>Esp. en Alta Gerencia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05020102</v>
      </c>
      <c r="H60" s="419" t="str">
        <f t="shared" si="3"/>
        <v>Esp. en Alta Gerencia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05020102</v>
      </c>
      <c r="H61" s="419" t="str">
        <f t="shared" si="3"/>
        <v>Esp. en Alta Gerencia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05020102</v>
      </c>
      <c r="H62" s="419" t="str">
        <f t="shared" si="3"/>
        <v>Esp. en Alta Gerencia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AE220-12C2-46BD-A1B1-53695635AB9B}">
  <dimension ref="A1:N64"/>
  <sheetViews>
    <sheetView showGridLines="0" topLeftCell="A30" zoomScale="90" zoomScaleNormal="90" workbookViewId="0">
      <selection activeCell="L44" sqref="L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5" t="s">
        <v>1136</v>
      </c>
      <c r="B1" s="595"/>
      <c r="C1" s="595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6">
        <v>6.5000000000000002E-2</v>
      </c>
      <c r="C2" s="596"/>
      <c r="D2" t="s">
        <v>1139</v>
      </c>
      <c r="H2" t="str">
        <f>+INGRESOS!A10</f>
        <v>Esp. en Alta Gerencia</v>
      </c>
      <c r="L2" t="s">
        <v>1140</v>
      </c>
      <c r="M2" s="416">
        <v>44108</v>
      </c>
    </row>
    <row r="3" spans="1:13">
      <c r="A3" t="s">
        <v>1141</v>
      </c>
      <c r="B3" s="594">
        <f>MROUND((93500*1.05),100)</f>
        <v>98200</v>
      </c>
      <c r="C3" s="594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4">
        <f>MROUND(1000000*1.05,1000)</f>
        <v>1050000</v>
      </c>
      <c r="C4" s="594"/>
      <c r="D4" t="s">
        <v>1146</v>
      </c>
      <c r="H4" t="str">
        <f>+TOTAL!C9</f>
        <v>FACULTAD DE INGENIERIA</v>
      </c>
      <c r="L4" t="s">
        <v>1147</v>
      </c>
      <c r="M4" s="417">
        <v>0</v>
      </c>
    </row>
    <row r="5" spans="1:13">
      <c r="A5" t="s">
        <v>1148</v>
      </c>
      <c r="B5" s="594">
        <v>400000</v>
      </c>
      <c r="C5" s="594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4">
        <v>260000</v>
      </c>
      <c r="C6" s="594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4">
        <v>109000</v>
      </c>
      <c r="C7" s="594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05020102</v>
      </c>
      <c r="H16" s="415" t="str">
        <f>+$H$2</f>
        <v>Esp. en Alta Gerencia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+'Nueva 66'!M16+'Nueva 67'!M16+'Nueva 68'!M16+'Nueva 4'!M16+'Continua 63'!M16+'Continua 64'!M16+'Continua 65'!M16+'Continua 4'!M16</f>
        <v>19656000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05020102</v>
      </c>
      <c r="H17" s="415" t="str">
        <f t="shared" ref="H17:H29" si="0">+$H$2</f>
        <v>Esp. en Alta Gerencia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+'Nueva 66'!M17+'Nueva 67'!M17+'Nueva 68'!M17+'Nueva 4'!M17+'Continua 63'!M17+'Continua 64'!M17+'Continua 65'!M17+'Continua 4'!M17</f>
        <v>889285000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05020102</v>
      </c>
      <c r="H18" s="415" t="str">
        <f t="shared" si="0"/>
        <v>Esp. en Alta Gerencia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>
        <f>+'Nueva 66'!M18+'Nueva 67'!M18+'Nueva 68'!M18+'Nueva 4'!M18+'Continua 63'!M18+'Continua 64'!M18+'Continua 65'!M18+'Continua 4'!M18</f>
        <v>0</v>
      </c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05020102</v>
      </c>
      <c r="H19" s="415" t="str">
        <f t="shared" si="0"/>
        <v>Esp. en Alta Gerencia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>
        <f>+'Nueva 66'!M19+'Nueva 67'!M19+'Nueva 68'!M19+'Nueva 4'!M19+'Continua 63'!M19+'Continua 64'!M19+'Continua 65'!M19+'Continua 4'!M19</f>
        <v>0</v>
      </c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05020102</v>
      </c>
      <c r="H20" s="415" t="str">
        <f t="shared" si="0"/>
        <v>Esp. en Alta Gerencia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>
        <f>+'Nueva 66'!M20+'Nueva 67'!M20+'Nueva 68'!M20+'Nueva 4'!M20+'Continua 63'!M20+'Continua 64'!M20+'Continua 65'!M20+'Continua 4'!M20</f>
        <v>0</v>
      </c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05020102</v>
      </c>
      <c r="H21" s="415" t="str">
        <f t="shared" si="0"/>
        <v>Esp. en Alta Gerencia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>
        <f>+'Nueva 66'!M21+'Nueva 67'!M21+'Nueva 68'!M21+'Nueva 4'!M21+'Continua 63'!M21+'Continua 64'!M21+'Continua 65'!M21+'Continua 4'!M21</f>
        <v>0</v>
      </c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05020102</v>
      </c>
      <c r="H22" s="415" t="str">
        <f t="shared" si="0"/>
        <v>Esp. en Alta Gerencia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>
        <f>+'Nueva 66'!M22+'Nueva 67'!M22+'Nueva 68'!M22+'Nueva 4'!M22+'Continua 63'!M22+'Continua 64'!M22+'Continua 65'!M22+'Continua 4'!M22</f>
        <v>0</v>
      </c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05020102</v>
      </c>
      <c r="H23" s="415" t="str">
        <f t="shared" si="0"/>
        <v>Esp. en Alta Gerencia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+'Nueva 66'!M23+'Nueva 67'!M23+'Nueva 68'!M23+'Nueva 4'!M23+'Continua 63'!M23+'Continua 64'!M23+'Continua 65'!M23+'Continua 4'!M23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05020102</v>
      </c>
      <c r="H24" s="415" t="str">
        <f t="shared" si="0"/>
        <v>Esp. en Alta Gerencia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+'Nueva 66'!M24+'Nueva 67'!M24+'Nueva 68'!M24+'Nueva 4'!M24+'Continua 63'!M24+'Continua 64'!M24+'Continua 65'!M24+'Continua 4'!M24</f>
        <v>0</v>
      </c>
    </row>
    <row r="25" spans="1:14" ht="15.75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05020102</v>
      </c>
      <c r="H25" s="415" t="str">
        <f t="shared" si="0"/>
        <v>Esp. en Alta Gerencia</v>
      </c>
      <c r="I25" s="415" t="s">
        <v>448</v>
      </c>
      <c r="J25" s="415" t="s">
        <v>1178</v>
      </c>
      <c r="K25" s="415" t="s">
        <v>1206</v>
      </c>
      <c r="L25" s="415" t="s">
        <v>1207</v>
      </c>
      <c r="M25" s="418">
        <f>+'Nueva 66'!M25+'Nueva 67'!M25+'Nueva 68'!M25+'Nueva 4'!M25+'Continua 63'!M25+'Continua 64'!M25+'Continua 65'!M25+'Continua 4'!M25</f>
        <v>0</v>
      </c>
    </row>
    <row r="26" spans="1:14" ht="15.75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05020102</v>
      </c>
      <c r="H26" s="415" t="str">
        <f t="shared" si="0"/>
        <v>Esp. en Alta Gerencia</v>
      </c>
      <c r="I26" s="415" t="s">
        <v>448</v>
      </c>
      <c r="J26" s="415" t="s">
        <v>1178</v>
      </c>
      <c r="K26" s="415" t="s">
        <v>1204</v>
      </c>
      <c r="L26" s="415" t="s">
        <v>1205</v>
      </c>
      <c r="M26" s="418">
        <f>+'Nueva 66'!M26+'Nueva 67'!M26+'Nueva 68'!M26+'Nueva 4'!M26+'Continua 63'!M26+'Continua 64'!M26+'Continua 65'!M26+'Continua 4'!M26</f>
        <v>0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05020102</v>
      </c>
      <c r="H27" s="415" t="str">
        <f t="shared" si="0"/>
        <v>Esp. en Alta Gerencia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+'Nueva 66'!M27+'Nueva 67'!M27+'Nueva 68'!M27+'Nueva 4'!M27+'Continua 63'!M27+'Continua 64'!M27+'Continua 65'!M27+'Continua 4'!M27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05020102</v>
      </c>
      <c r="H28" s="415" t="str">
        <f t="shared" si="0"/>
        <v>Esp. en Alta Gerencia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+'Nueva 66'!M28+'Nueva 67'!M28+'Nueva 68'!M28+'Nueva 4'!M28+'Continua 63'!M28+'Continua 64'!M28+'Continua 65'!M28+'Continua 4'!M28</f>
        <v>890000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05020102</v>
      </c>
      <c r="H29" s="415" t="str">
        <f t="shared" si="0"/>
        <v>Esp. en Alta Gerencia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+'Nueva 66'!M29+'Nueva 67'!M29+'Nueva 68'!M29+'Nueva 4'!M29+'Continua 63'!M29+'Continua 64'!M29+'Continua 65'!M29+'Continua 4'!M29</f>
        <v>2668000</v>
      </c>
      <c r="N29" s="423">
        <f>+SUM(M16:M29)</f>
        <v>912499000</v>
      </c>
    </row>
    <row r="30" spans="1:14" ht="15.75">
      <c r="M30" s="418">
        <f>+'Nueva 66'!M30+'Nueva 67'!M30+'Nueva 68'!M30+'Nueva 4'!M30+'Continua 63'!M30+'Continua 64'!M30+'Continua 65'!M30+'Continua 4'!M30</f>
        <v>0</v>
      </c>
    </row>
    <row r="31" spans="1:14" ht="15.75">
      <c r="M31" s="418">
        <f>+'Nueva 66'!M31+'Nueva 67'!M31+'Nueva 68'!M31+'Nueva 4'!M31+'Continua 63'!M31+'Continua 64'!M31+'Continua 65'!M31+'Continua 4'!M31</f>
        <v>0</v>
      </c>
    </row>
    <row r="32" spans="1:14" ht="15.75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05020102</v>
      </c>
      <c r="H32" s="419" t="str">
        <f>+$H$29</f>
        <v>Esp. en Alta Gerencia</v>
      </c>
      <c r="I32" t="s">
        <v>454</v>
      </c>
      <c r="J32" s="419" t="s">
        <v>1218</v>
      </c>
      <c r="K32" t="s">
        <v>1213</v>
      </c>
      <c r="L32" t="s">
        <v>1214</v>
      </c>
      <c r="M32" s="418">
        <f>+'Nueva 66'!M32+'Nueva 67'!M32+'Nueva 68'!M32+'Nueva 4'!M32+'Continua 63'!M32+'Continua 64'!M32+'Continua 65'!M32+'Continua 4'!M32</f>
        <v>42000000</v>
      </c>
      <c r="N32" t="s">
        <v>1272</v>
      </c>
    </row>
    <row r="33" spans="1:14" ht="15.75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05020102</v>
      </c>
      <c r="H33" s="419" t="str">
        <f t="shared" ref="H33:H62" si="3">+$H$29</f>
        <v>Esp. en Alta Gerencia</v>
      </c>
      <c r="I33" t="s">
        <v>448</v>
      </c>
      <c r="J33" s="419" t="s">
        <v>1178</v>
      </c>
      <c r="K33" t="s">
        <v>1213</v>
      </c>
      <c r="L33" t="s">
        <v>1214</v>
      </c>
      <c r="M33" s="418">
        <f>+'Nueva 66'!M33+'Nueva 67'!M33+'Nueva 68'!M33+'Nueva 4'!M33+'Continua 63'!M33+'Continua 64'!M33+'Continua 65'!M33+'Continua 4'!M33</f>
        <v>89873000</v>
      </c>
      <c r="N33" t="s">
        <v>1273</v>
      </c>
    </row>
    <row r="34" spans="1:14" ht="15.75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05020102</v>
      </c>
      <c r="H34" s="419" t="str">
        <f t="shared" si="3"/>
        <v>Esp. en Alta Gerencia</v>
      </c>
      <c r="I34" t="s">
        <v>448</v>
      </c>
      <c r="J34" s="419" t="s">
        <v>1178</v>
      </c>
      <c r="K34" t="s">
        <v>1215</v>
      </c>
      <c r="L34" t="s">
        <v>1216</v>
      </c>
      <c r="M34" s="418">
        <f>+'Nueva 66'!M34+'Nueva 67'!M34+'Nueva 68'!M34+'Nueva 4'!M34+'Continua 63'!M34+'Continua 64'!M34+'Continua 65'!M34+'Continua 4'!M34</f>
        <v>24888000</v>
      </c>
      <c r="N34" t="s">
        <v>1274</v>
      </c>
    </row>
    <row r="35" spans="1:14" ht="15.75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05020102</v>
      </c>
      <c r="H35" s="419" t="str">
        <f t="shared" si="3"/>
        <v>Esp. en Alta Gerencia</v>
      </c>
      <c r="I35" t="s">
        <v>448</v>
      </c>
      <c r="J35" s="419" t="s">
        <v>1178</v>
      </c>
      <c r="K35">
        <v>6209030202</v>
      </c>
      <c r="L35" t="s">
        <v>1216</v>
      </c>
      <c r="M35" s="418">
        <f>+'Nueva 66'!M35+'Nueva 67'!M35+'Nueva 68'!M35+'Nueva 4'!M35+'Continua 63'!M35+'Continua 64'!M35+'Continua 65'!M35+'Continua 4'!M35</f>
        <v>13826000</v>
      </c>
      <c r="N35" t="s">
        <v>1275</v>
      </c>
    </row>
    <row r="36" spans="1:14" ht="15.75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05020102</v>
      </c>
      <c r="H36" s="419" t="str">
        <f t="shared" si="3"/>
        <v>Esp. en Alta Gerencia</v>
      </c>
      <c r="I36" t="s">
        <v>448</v>
      </c>
      <c r="J36" s="419" t="s">
        <v>1178</v>
      </c>
      <c r="K36" t="s">
        <v>1217</v>
      </c>
      <c r="L36" t="s">
        <v>1216</v>
      </c>
      <c r="M36" s="418">
        <f>+'Nueva 66'!M36+'Nueva 67'!M36+'Nueva 68'!M36+'Nueva 4'!M36+'Continua 63'!M36+'Continua 64'!M36+'Continua 65'!M36+'Continua 4'!M36</f>
        <v>5530000</v>
      </c>
      <c r="N36" t="s">
        <v>1276</v>
      </c>
    </row>
    <row r="37" spans="1:14" ht="15.75">
      <c r="G37" t="str">
        <f t="shared" si="2"/>
        <v>05020102</v>
      </c>
      <c r="H37" s="419" t="str">
        <f t="shared" si="3"/>
        <v>Esp. en Alta Gerencia</v>
      </c>
      <c r="M37" s="418">
        <f>+'Nueva 66'!M37+'Nueva 67'!M37+'Nueva 68'!M37+'Nueva 4'!M37+'Continua 63'!M37+'Continua 64'!M37+'Continua 65'!M37+'Continua 4'!M37</f>
        <v>0</v>
      </c>
    </row>
    <row r="38" spans="1:14" ht="15.75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05020102</v>
      </c>
      <c r="H38" s="419" t="str">
        <f t="shared" si="3"/>
        <v>Esp. en Alta Gerencia</v>
      </c>
      <c r="I38" t="s">
        <v>450</v>
      </c>
      <c r="J38" s="419" t="s">
        <v>1251</v>
      </c>
      <c r="K38" t="s">
        <v>1252</v>
      </c>
      <c r="L38" t="s">
        <v>1214</v>
      </c>
      <c r="M38" s="418">
        <f>+'Nueva 66'!M38+'Nueva 67'!M38+'Nueva 68'!M38+'Nueva 4'!M38+'Continua 63'!M38+'Continua 64'!M38+'Continua 65'!M38+'Continua 4'!M38</f>
        <v>6913000</v>
      </c>
      <c r="N38" t="s">
        <v>1277</v>
      </c>
    </row>
    <row r="39" spans="1:14" ht="15.75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05020102</v>
      </c>
      <c r="H39" s="419" t="str">
        <f t="shared" si="3"/>
        <v>Esp. en Alta Gerencia</v>
      </c>
      <c r="I39" t="s">
        <v>450</v>
      </c>
      <c r="J39" s="419" t="s">
        <v>1251</v>
      </c>
      <c r="K39">
        <v>6210030102</v>
      </c>
      <c r="L39" t="s">
        <v>1216</v>
      </c>
      <c r="M39" s="418">
        <f>+'Nueva 66'!M39+'Nueva 67'!M39+'Nueva 68'!M39+'Nueva 4'!M39+'Continua 63'!M39+'Continua 64'!M39+'Continua 65'!M39+'Continua 4'!M39</f>
        <v>0</v>
      </c>
      <c r="N39" t="s">
        <v>1278</v>
      </c>
    </row>
    <row r="40" spans="1:14" ht="15.75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05020102</v>
      </c>
      <c r="H40" s="419" t="str">
        <f t="shared" si="3"/>
        <v>Esp. en Alta Gerencia</v>
      </c>
      <c r="I40" t="s">
        <v>448</v>
      </c>
      <c r="J40" s="419" t="s">
        <v>1178</v>
      </c>
      <c r="K40" t="s">
        <v>1239</v>
      </c>
      <c r="L40" t="s">
        <v>1240</v>
      </c>
      <c r="M40" s="418">
        <f>+'Nueva 66'!M40+'Nueva 67'!M40+'Nueva 68'!M40+'Nueva 4'!M40+'Continua 63'!M40+'Continua 64'!M40+'Continua 65'!M40+'Continua 4'!M40</f>
        <v>603000</v>
      </c>
    </row>
    <row r="41" spans="1:14" ht="15.75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05020102</v>
      </c>
      <c r="H41" s="419" t="str">
        <f t="shared" si="3"/>
        <v>Esp. en Alta Gerencia</v>
      </c>
      <c r="I41" t="s">
        <v>448</v>
      </c>
      <c r="J41" s="419" t="s">
        <v>1178</v>
      </c>
      <c r="K41" t="s">
        <v>1232</v>
      </c>
      <c r="L41" t="s">
        <v>1233</v>
      </c>
      <c r="M41" s="418">
        <f>+'Nueva 66'!M41+'Nueva 67'!M41+'Nueva 68'!M41+'Nueva 4'!M41+'Continua 63'!M41+'Continua 64'!M41+'Continua 65'!M41+'Continua 4'!M41</f>
        <v>22142000</v>
      </c>
    </row>
    <row r="42" spans="1:14" ht="15.75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05020102</v>
      </c>
      <c r="H42" s="419" t="str">
        <f t="shared" si="3"/>
        <v>Esp. en Alta Gerencia</v>
      </c>
      <c r="I42" t="s">
        <v>448</v>
      </c>
      <c r="J42" s="419" t="s">
        <v>1178</v>
      </c>
      <c r="K42" t="s">
        <v>1234</v>
      </c>
      <c r="L42" t="s">
        <v>1235</v>
      </c>
      <c r="M42" s="418">
        <f>+'Nueva 66'!M42+'Nueva 67'!M42+'Nueva 68'!M42+'Nueva 4'!M42+'Continua 63'!M42+'Continua 64'!M42+'Continua 65'!M42+'Continua 4'!M42</f>
        <v>25200000</v>
      </c>
    </row>
    <row r="43" spans="1:14" ht="15.75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05020102</v>
      </c>
      <c r="H43" s="419" t="str">
        <f t="shared" si="3"/>
        <v>Esp. en Alta Gerencia</v>
      </c>
      <c r="I43" t="s">
        <v>448</v>
      </c>
      <c r="J43" s="419" t="s">
        <v>1178</v>
      </c>
      <c r="K43" t="s">
        <v>1236</v>
      </c>
      <c r="L43" t="s">
        <v>1237</v>
      </c>
      <c r="M43" s="418">
        <f>+'Nueva 66'!M43+'Nueva 67'!M43+'Nueva 68'!M43+'Nueva 4'!M43+'Continua 63'!M43+'Continua 64'!M43+'Continua 65'!M43+'Continua 4'!M43</f>
        <v>1262000</v>
      </c>
    </row>
    <row r="44" spans="1:14" ht="15.75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05020102</v>
      </c>
      <c r="H44" s="419" t="str">
        <f t="shared" si="3"/>
        <v>Esp. en Alta Gerencia</v>
      </c>
      <c r="I44" t="s">
        <v>448</v>
      </c>
      <c r="J44" s="419" t="s">
        <v>1178</v>
      </c>
      <c r="K44" t="s">
        <v>1220</v>
      </c>
      <c r="L44" t="s">
        <v>1221</v>
      </c>
      <c r="M44" s="418">
        <f>+'Nueva 66'!M44+'Nueva 67'!M44+'Nueva 68'!M44+'Nueva 4'!M44+'Continua 63'!M44+'Continua 64'!M44+'Continua 65'!M44+'Continua 4'!M44</f>
        <v>15117000</v>
      </c>
    </row>
    <row r="45" spans="1:14">
      <c r="G45" t="str">
        <f t="shared" si="2"/>
        <v>05020102</v>
      </c>
      <c r="H45" s="419" t="str">
        <f t="shared" si="3"/>
        <v>Esp. en Alta Gerencia</v>
      </c>
      <c r="M45" s="394"/>
    </row>
    <row r="46" spans="1:14">
      <c r="G46" t="str">
        <f t="shared" si="2"/>
        <v>05020102</v>
      </c>
      <c r="H46" s="419" t="str">
        <f t="shared" si="3"/>
        <v>Esp. en Alta Gerencia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05020102</v>
      </c>
      <c r="H47" s="419" t="str">
        <f t="shared" si="3"/>
        <v>Esp. en Alta Gerencia</v>
      </c>
      <c r="I47" t="s">
        <v>448</v>
      </c>
      <c r="J47" s="419" t="s">
        <v>1178</v>
      </c>
      <c r="K47" t="s">
        <v>1223</v>
      </c>
      <c r="L47" t="s">
        <v>1071</v>
      </c>
      <c r="M47" s="427">
        <f>+'[2]Sede Belmonte'!$G$42</f>
        <v>644000</v>
      </c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05020102</v>
      </c>
      <c r="H48" s="419" t="str">
        <f t="shared" si="3"/>
        <v>Esp. en Alta Gerencia</v>
      </c>
      <c r="I48" t="s">
        <v>448</v>
      </c>
      <c r="J48" s="419" t="s">
        <v>1178</v>
      </c>
      <c r="K48" t="s">
        <v>1224</v>
      </c>
      <c r="L48" t="s">
        <v>1072</v>
      </c>
      <c r="M48" s="427">
        <f>+'[2]Sede Belmonte'!$H$42</f>
        <v>1288000</v>
      </c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05020102</v>
      </c>
      <c r="H49" s="419" t="str">
        <f t="shared" si="3"/>
        <v>Esp. en Alta Gerencia</v>
      </c>
      <c r="I49" t="s">
        <v>448</v>
      </c>
      <c r="J49" s="419" t="s">
        <v>1178</v>
      </c>
      <c r="K49" t="s">
        <v>1225</v>
      </c>
      <c r="L49" t="s">
        <v>1226</v>
      </c>
      <c r="M49" s="427">
        <f>+'[2]Sede Belmonte'!$I$42</f>
        <v>3220000</v>
      </c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05020102</v>
      </c>
      <c r="H50" s="419" t="str">
        <f t="shared" si="3"/>
        <v>Esp. en Alta Gerencia</v>
      </c>
      <c r="I50" t="s">
        <v>448</v>
      </c>
      <c r="J50" s="419" t="s">
        <v>1178</v>
      </c>
      <c r="K50" t="s">
        <v>1227</v>
      </c>
      <c r="L50" t="s">
        <v>1228</v>
      </c>
      <c r="M50" s="427">
        <f>+'[2]Sede Belmonte'!$J$42</f>
        <v>2147000</v>
      </c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05020102</v>
      </c>
      <c r="H51" s="419" t="str">
        <f t="shared" si="3"/>
        <v>Esp. en Alta Gerencia</v>
      </c>
      <c r="I51" t="s">
        <v>448</v>
      </c>
      <c r="J51" s="419" t="s">
        <v>1178</v>
      </c>
      <c r="K51" t="s">
        <v>1229</v>
      </c>
      <c r="L51" t="s">
        <v>1230</v>
      </c>
      <c r="M51" s="427">
        <f>+'[2]Sede Belmonte'!$K$42</f>
        <v>644000</v>
      </c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05020102</v>
      </c>
      <c r="H52" s="419" t="str">
        <f t="shared" si="3"/>
        <v>Esp. en Alta Gerencia</v>
      </c>
      <c r="I52" t="s">
        <v>448</v>
      </c>
      <c r="J52" s="419" t="s">
        <v>1178</v>
      </c>
      <c r="K52">
        <v>6209020406</v>
      </c>
      <c r="L52" s="422" t="s">
        <v>1078</v>
      </c>
      <c r="M52" s="427">
        <f>+'[2]Sede Belmonte'!$L$42</f>
        <v>3220000</v>
      </c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05020102</v>
      </c>
      <c r="H53" s="419" t="str">
        <f t="shared" si="3"/>
        <v>Esp. en Alta Gerencia</v>
      </c>
      <c r="I53" t="s">
        <v>448</v>
      </c>
      <c r="J53" s="419" t="s">
        <v>1178</v>
      </c>
      <c r="K53" t="s">
        <v>1242</v>
      </c>
      <c r="L53" t="s">
        <v>1243</v>
      </c>
      <c r="M53" s="427">
        <f>+'[2]Sede Belmonte'!$M$42</f>
        <v>537000</v>
      </c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05020102</v>
      </c>
      <c r="H54" s="419" t="str">
        <f t="shared" si="3"/>
        <v>Esp. en Alta Gerencia</v>
      </c>
      <c r="I54" t="s">
        <v>448</v>
      </c>
      <c r="J54" s="419" t="s">
        <v>1178</v>
      </c>
      <c r="K54" t="s">
        <v>1244</v>
      </c>
      <c r="L54" t="s">
        <v>1245</v>
      </c>
      <c r="M54" s="427">
        <f>+'[2]Sede Belmonte'!$N$42</f>
        <v>859000</v>
      </c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05020102</v>
      </c>
      <c r="H55" s="419" t="str">
        <f t="shared" si="3"/>
        <v>Esp. en Alta Gerencia</v>
      </c>
      <c r="I55" t="s">
        <v>448</v>
      </c>
      <c r="J55" s="419" t="s">
        <v>1178</v>
      </c>
      <c r="K55">
        <v>6209020309</v>
      </c>
      <c r="L55" s="422" t="s">
        <v>1262</v>
      </c>
      <c r="M55" s="427">
        <f>+'[2]Sede Belmonte'!$O$42</f>
        <v>21469000</v>
      </c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05020102</v>
      </c>
      <c r="H56" s="419" t="str">
        <f t="shared" si="3"/>
        <v>Esp. en Alta Gerencia</v>
      </c>
      <c r="I56" t="s">
        <v>448</v>
      </c>
      <c r="J56" s="419" t="s">
        <v>1178</v>
      </c>
      <c r="K56">
        <v>6209021402</v>
      </c>
      <c r="L56" s="422" t="s">
        <v>1071</v>
      </c>
      <c r="M56" s="427">
        <f>+'[2]Sede Belmonte'!$P$42</f>
        <v>10734000</v>
      </c>
      <c r="N56" t="s">
        <v>1268</v>
      </c>
    </row>
    <row r="57" spans="1:14">
      <c r="G57" t="str">
        <f t="shared" si="2"/>
        <v>05020102</v>
      </c>
      <c r="H57" s="419" t="str">
        <f t="shared" si="3"/>
        <v>Esp. en Alta Gerencia</v>
      </c>
      <c r="M57" s="394"/>
    </row>
    <row r="58" spans="1:14" ht="15.75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05020102</v>
      </c>
      <c r="H58" s="419" t="str">
        <f t="shared" si="3"/>
        <v>Esp. en Alta Gerencia</v>
      </c>
      <c r="I58" t="s">
        <v>448</v>
      </c>
      <c r="J58" s="419" t="s">
        <v>1178</v>
      </c>
      <c r="K58" t="s">
        <v>1247</v>
      </c>
      <c r="L58" t="s">
        <v>1248</v>
      </c>
      <c r="M58" s="428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05020102</v>
      </c>
      <c r="H59" s="419" t="str">
        <f t="shared" si="3"/>
        <v>Esp. en Alta Gerencia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3395000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05020102</v>
      </c>
      <c r="H60" s="419" t="str">
        <f t="shared" si="3"/>
        <v>Esp. en Alta Gerencia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27268000</v>
      </c>
    </row>
    <row r="61" spans="1:14" ht="15.75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05020102</v>
      </c>
      <c r="H61" s="419" t="str">
        <f t="shared" si="3"/>
        <v>Esp. en Alta Gerencia</v>
      </c>
      <c r="I61" t="s">
        <v>448</v>
      </c>
      <c r="J61" s="419" t="s">
        <v>1178</v>
      </c>
      <c r="K61" t="s">
        <v>1258</v>
      </c>
      <c r="L61" t="s">
        <v>1259</v>
      </c>
      <c r="M61" s="428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05020102</v>
      </c>
      <c r="H62" s="419" t="str">
        <f t="shared" si="3"/>
        <v>Esp. en Alta Gerencia</v>
      </c>
      <c r="I62" t="s">
        <v>448</v>
      </c>
      <c r="J62" s="419" t="s">
        <v>1178</v>
      </c>
      <c r="K62" t="s">
        <v>1260</v>
      </c>
      <c r="L62" t="s">
        <v>1261</v>
      </c>
      <c r="M62" s="427"/>
      <c r="N62" s="424">
        <f>+SUM(M32:M62)</f>
        <v>322779000</v>
      </c>
    </row>
    <row r="64" spans="1:14">
      <c r="N64" s="424">
        <f>+N29-N62</f>
        <v>589720000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2" t="s">
        <v>432</v>
      </c>
      <c r="C1" s="282"/>
      <c r="D1" s="286"/>
      <c r="E1" s="286"/>
      <c r="F1" s="286"/>
    </row>
    <row r="2" spans="2:6">
      <c r="B2" s="282" t="s">
        <v>433</v>
      </c>
      <c r="C2" s="282"/>
      <c r="D2" s="286"/>
      <c r="E2" s="286"/>
      <c r="F2" s="286"/>
    </row>
    <row r="3" spans="2:6">
      <c r="B3" s="283"/>
      <c r="C3" s="283"/>
      <c r="D3" s="287"/>
      <c r="E3" s="287"/>
      <c r="F3" s="287"/>
    </row>
    <row r="4" spans="2:6" ht="45">
      <c r="B4" s="283" t="s">
        <v>434</v>
      </c>
      <c r="C4" s="283"/>
      <c r="D4" s="287"/>
      <c r="E4" s="287"/>
      <c r="F4" s="287"/>
    </row>
    <row r="5" spans="2:6">
      <c r="B5" s="283"/>
      <c r="C5" s="283"/>
      <c r="D5" s="287"/>
      <c r="E5" s="287"/>
      <c r="F5" s="287"/>
    </row>
    <row r="6" spans="2:6" ht="30">
      <c r="B6" s="282" t="s">
        <v>435</v>
      </c>
      <c r="C6" s="282"/>
      <c r="D6" s="286"/>
      <c r="E6" s="286" t="s">
        <v>436</v>
      </c>
      <c r="F6" s="286" t="s">
        <v>437</v>
      </c>
    </row>
    <row r="7" spans="2:6" ht="15.75" thickBot="1">
      <c r="B7" s="283"/>
      <c r="C7" s="283"/>
      <c r="D7" s="287"/>
      <c r="E7" s="287"/>
      <c r="F7" s="287"/>
    </row>
    <row r="8" spans="2:6" ht="75.75" thickBot="1">
      <c r="B8" s="284" t="s">
        <v>438</v>
      </c>
      <c r="C8" s="285"/>
      <c r="D8" s="288"/>
      <c r="E8" s="288" t="s">
        <v>440</v>
      </c>
      <c r="F8" s="289" t="s">
        <v>439</v>
      </c>
    </row>
    <row r="9" spans="2:6" ht="15.75" thickBot="1">
      <c r="B9" s="283"/>
      <c r="C9" s="283"/>
      <c r="D9" s="287"/>
      <c r="E9" s="287"/>
      <c r="F9" s="287"/>
    </row>
    <row r="10" spans="2:6" ht="45.75" thickBot="1">
      <c r="B10" s="284" t="s">
        <v>441</v>
      </c>
      <c r="C10" s="285"/>
      <c r="D10" s="288"/>
      <c r="E10" s="288">
        <v>91</v>
      </c>
      <c r="F10" s="289" t="s">
        <v>439</v>
      </c>
    </row>
    <row r="11" spans="2:6">
      <c r="B11" s="283"/>
      <c r="C11" s="283"/>
      <c r="D11" s="287"/>
      <c r="E11" s="287"/>
      <c r="F11" s="287"/>
    </row>
    <row r="12" spans="2:6">
      <c r="B12" s="283"/>
      <c r="C12" s="283"/>
      <c r="D12" s="287"/>
      <c r="E12" s="287"/>
      <c r="F12" s="28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0"/>
  <sheetViews>
    <sheetView tabSelected="1" zoomScale="80" zoomScaleNormal="80" workbookViewId="0">
      <selection activeCell="E16" sqref="E16"/>
    </sheetView>
  </sheetViews>
  <sheetFormatPr baseColWidth="10" defaultRowHeight="12.75"/>
  <cols>
    <col min="1" max="1" width="37.28515625" style="75" customWidth="1"/>
    <col min="2" max="2" width="17.85546875" style="75" customWidth="1"/>
    <col min="3" max="3" width="14.28515625" style="75" customWidth="1"/>
    <col min="4" max="4" width="17.140625" style="75" customWidth="1"/>
    <col min="5" max="5" width="20.140625" style="75" customWidth="1"/>
    <col min="6" max="6" width="15.140625" style="75" bestFit="1" customWidth="1"/>
    <col min="7" max="7" width="15" style="75" customWidth="1"/>
    <col min="8" max="8" width="16.42578125" style="75" customWidth="1"/>
    <col min="9" max="9" width="15" style="75" customWidth="1"/>
    <col min="10" max="10" width="14.42578125" style="75" customWidth="1"/>
    <col min="11" max="11" width="16.42578125" style="75" customWidth="1"/>
    <col min="12" max="12" width="21.28515625" style="75" customWidth="1"/>
    <col min="13" max="16384" width="11.42578125" style="75"/>
  </cols>
  <sheetData>
    <row r="1" spans="1:13" s="52" customFormat="1" ht="20.25" customHeight="1">
      <c r="A1" s="518"/>
      <c r="B1" s="519"/>
      <c r="C1" s="519"/>
      <c r="D1" s="519"/>
      <c r="E1" s="519"/>
      <c r="F1" s="519"/>
      <c r="G1" s="519"/>
      <c r="H1" s="519"/>
      <c r="I1" s="519"/>
      <c r="J1" s="519"/>
      <c r="K1" s="519"/>
      <c r="L1" s="519"/>
      <c r="M1" s="53"/>
    </row>
    <row r="2" spans="1:13" s="52" customFormat="1" ht="23.25" customHeight="1">
      <c r="A2" s="528" t="s">
        <v>4</v>
      </c>
      <c r="B2" s="529"/>
      <c r="C2" s="529"/>
      <c r="D2" s="529"/>
      <c r="E2" s="529"/>
      <c r="F2" s="529"/>
      <c r="G2" s="529"/>
      <c r="H2" s="529"/>
      <c r="I2" s="529"/>
      <c r="J2" s="529"/>
      <c r="K2" s="529"/>
      <c r="L2" s="529"/>
      <c r="M2" s="53"/>
    </row>
    <row r="3" spans="1:13" s="52" customFormat="1" ht="23.25" customHeight="1">
      <c r="A3" s="530" t="s">
        <v>112</v>
      </c>
      <c r="B3" s="531"/>
      <c r="C3" s="531"/>
      <c r="D3" s="531"/>
      <c r="E3" s="531"/>
      <c r="F3" s="531"/>
      <c r="G3" s="531"/>
      <c r="H3" s="531"/>
      <c r="I3" s="531"/>
      <c r="J3" s="531"/>
      <c r="K3" s="531"/>
      <c r="L3" s="531"/>
      <c r="M3" s="53"/>
    </row>
    <row r="4" spans="1:13" s="52" customFormat="1" ht="10.5" customHeight="1">
      <c r="A4" s="525"/>
      <c r="B4" s="526"/>
      <c r="C4" s="526"/>
      <c r="D4" s="526"/>
      <c r="E4" s="526"/>
      <c r="F4" s="526"/>
      <c r="G4" s="526"/>
      <c r="H4" s="526"/>
      <c r="I4" s="526"/>
      <c r="J4" s="526"/>
      <c r="K4" s="526"/>
      <c r="L4" s="526"/>
      <c r="M4" s="53"/>
    </row>
    <row r="5" spans="1:13" s="52" customFormat="1" ht="10.5" customHeight="1" thickBot="1">
      <c r="A5" s="527"/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3"/>
    </row>
    <row r="6" spans="1:13" s="7" customFormat="1" ht="25.5" customHeight="1" thickBot="1">
      <c r="A6" s="56" t="s">
        <v>12</v>
      </c>
      <c r="B6" s="520" t="str">
        <f>+TOTAL!C6</f>
        <v>PEREIRA</v>
      </c>
      <c r="C6" s="521"/>
      <c r="D6" s="521"/>
      <c r="E6" s="521"/>
      <c r="F6" s="521"/>
      <c r="G6" s="521"/>
      <c r="H6" s="521"/>
      <c r="I6" s="522"/>
      <c r="J6" s="56" t="s">
        <v>113</v>
      </c>
      <c r="K6" s="492" t="str">
        <f>+TOTAL!F6</f>
        <v>2020</v>
      </c>
      <c r="L6" s="493"/>
    </row>
    <row r="7" spans="1:13" s="68" customFormat="1" ht="13.5" thickBot="1">
      <c r="A7" s="65"/>
      <c r="B7" s="65"/>
      <c r="C7" s="65"/>
      <c r="D7" s="66"/>
      <c r="E7" s="65"/>
      <c r="F7" s="65"/>
      <c r="G7" s="67"/>
      <c r="H7" s="67"/>
      <c r="I7" s="65"/>
      <c r="J7" s="67"/>
      <c r="K7" s="67"/>
      <c r="L7" s="67"/>
    </row>
    <row r="8" spans="1:13" s="69" customFormat="1" ht="16.5" customHeight="1" thickBot="1">
      <c r="A8" s="520" t="s">
        <v>1</v>
      </c>
      <c r="B8" s="521"/>
      <c r="C8" s="521"/>
      <c r="D8" s="521"/>
      <c r="E8" s="521"/>
      <c r="F8" s="521"/>
      <c r="G8" s="521"/>
      <c r="H8" s="521"/>
      <c r="I8" s="521"/>
      <c r="J8" s="521"/>
      <c r="K8" s="521"/>
      <c r="L8" s="522"/>
    </row>
    <row r="9" spans="1:13" s="69" customFormat="1" ht="16.5" customHeight="1" thickBot="1">
      <c r="A9" s="520" t="s">
        <v>2</v>
      </c>
      <c r="B9" s="521"/>
      <c r="C9" s="521"/>
      <c r="D9" s="521"/>
      <c r="E9" s="521"/>
      <c r="F9" s="521"/>
      <c r="G9" s="521"/>
      <c r="H9" s="521"/>
      <c r="I9" s="522"/>
      <c r="J9" s="520" t="s">
        <v>13</v>
      </c>
      <c r="K9" s="521"/>
      <c r="L9" s="522"/>
    </row>
    <row r="10" spans="1:13" s="69" customFormat="1" ht="15.75" customHeight="1">
      <c r="A10" s="546" t="str">
        <f>+TOTAL!B12</f>
        <v>Esp. en Alta Gerencia</v>
      </c>
      <c r="B10" s="547"/>
      <c r="C10" s="547"/>
      <c r="D10" s="547"/>
      <c r="E10" s="547"/>
      <c r="F10" s="547"/>
      <c r="G10" s="547"/>
      <c r="H10" s="547"/>
      <c r="I10" s="548"/>
      <c r="J10" s="546" t="str">
        <f>+TOTAL!E12</f>
        <v>05020102</v>
      </c>
      <c r="K10" s="547"/>
      <c r="L10" s="548"/>
    </row>
    <row r="11" spans="1:13" s="69" customFormat="1" ht="15.75" customHeight="1" thickBot="1">
      <c r="A11" s="549"/>
      <c r="B11" s="550"/>
      <c r="C11" s="550"/>
      <c r="D11" s="550"/>
      <c r="E11" s="550"/>
      <c r="F11" s="550"/>
      <c r="G11" s="550"/>
      <c r="H11" s="550"/>
      <c r="I11" s="551"/>
      <c r="J11" s="549"/>
      <c r="K11" s="550"/>
      <c r="L11" s="551"/>
    </row>
    <row r="12" spans="1:13" s="69" customFormat="1" ht="14.25" customHeight="1" thickBot="1">
      <c r="A12" s="70"/>
      <c r="B12" s="71"/>
      <c r="C12" s="71"/>
      <c r="D12" s="72"/>
      <c r="E12" s="72"/>
      <c r="F12" s="73"/>
      <c r="G12" s="73"/>
      <c r="H12" s="73"/>
      <c r="I12" s="73"/>
      <c r="J12" s="73"/>
      <c r="K12" s="73"/>
      <c r="L12" s="74"/>
    </row>
    <row r="13" spans="1:13" ht="35.25" customHeight="1" thickBot="1">
      <c r="A13" s="532" t="s">
        <v>83</v>
      </c>
      <c r="B13" s="533"/>
      <c r="C13" s="533"/>
      <c r="D13" s="533"/>
      <c r="E13" s="533"/>
      <c r="F13" s="533"/>
      <c r="G13" s="533"/>
      <c r="H13" s="533"/>
      <c r="I13" s="533"/>
      <c r="J13" s="533"/>
      <c r="K13" s="533"/>
      <c r="L13" s="534"/>
    </row>
    <row r="14" spans="1:13" ht="31.5" customHeight="1">
      <c r="A14" s="499" t="s">
        <v>81</v>
      </c>
      <c r="B14" s="501" t="s">
        <v>82</v>
      </c>
      <c r="C14" s="501"/>
      <c r="D14" s="501"/>
      <c r="E14" s="501" t="s">
        <v>80</v>
      </c>
      <c r="F14" s="501"/>
      <c r="G14" s="501"/>
      <c r="H14" s="501" t="s">
        <v>86</v>
      </c>
      <c r="I14" s="501"/>
      <c r="J14" s="509" t="s">
        <v>92</v>
      </c>
      <c r="K14" s="523"/>
      <c r="L14" s="524"/>
    </row>
    <row r="15" spans="1:13" s="79" customFormat="1" ht="16.5" customHeight="1" thickBot="1">
      <c r="A15" s="500"/>
      <c r="B15" s="76" t="s">
        <v>14</v>
      </c>
      <c r="C15" s="76" t="s">
        <v>15</v>
      </c>
      <c r="D15" s="76" t="s">
        <v>16</v>
      </c>
      <c r="E15" s="76" t="s">
        <v>14</v>
      </c>
      <c r="F15" s="76" t="s">
        <v>15</v>
      </c>
      <c r="G15" s="76" t="s">
        <v>16</v>
      </c>
      <c r="H15" s="76" t="s">
        <v>14</v>
      </c>
      <c r="I15" s="76" t="s">
        <v>15</v>
      </c>
      <c r="J15" s="77" t="s">
        <v>14</v>
      </c>
      <c r="K15" s="76" t="s">
        <v>15</v>
      </c>
      <c r="L15" s="78" t="s">
        <v>16</v>
      </c>
    </row>
    <row r="16" spans="1:13">
      <c r="A16" s="80" t="s">
        <v>21</v>
      </c>
      <c r="B16" s="81">
        <v>55</v>
      </c>
      <c r="C16" s="81">
        <v>21</v>
      </c>
      <c r="D16" s="82">
        <f>+B16+C16</f>
        <v>76</v>
      </c>
      <c r="E16" s="81">
        <f>18*2</f>
        <v>36</v>
      </c>
      <c r="F16" s="81">
        <v>18</v>
      </c>
      <c r="G16" s="82">
        <f>+E16+F16</f>
        <v>54</v>
      </c>
      <c r="H16" s="82">
        <f>+'[1]Valores Pecuniarios 2020'!F156</f>
        <v>6653000</v>
      </c>
      <c r="I16" s="82">
        <f>+'[1]Valores Pecuniarios 2020'!G156</f>
        <v>6653000</v>
      </c>
      <c r="J16" s="83">
        <f>+E16*H16</f>
        <v>239508000</v>
      </c>
      <c r="K16" s="83">
        <f>+F16*I16</f>
        <v>119754000</v>
      </c>
      <c r="L16" s="408">
        <f>+J16+K16</f>
        <v>359262000</v>
      </c>
    </row>
    <row r="17" spans="1:12" ht="13.5" thickBot="1">
      <c r="A17" s="85" t="s">
        <v>22</v>
      </c>
      <c r="B17" s="86">
        <v>16</v>
      </c>
      <c r="C17" s="86">
        <v>29</v>
      </c>
      <c r="D17" s="87">
        <f>+B17+C17</f>
        <v>45</v>
      </c>
      <c r="E17" s="86">
        <v>45</v>
      </c>
      <c r="F17" s="86">
        <v>34</v>
      </c>
      <c r="G17" s="82">
        <f>+E17+F17</f>
        <v>79</v>
      </c>
      <c r="H17" s="82">
        <f>+'[1]Valores Pecuniarios 2020'!F157</f>
        <v>6653000</v>
      </c>
      <c r="I17" s="82">
        <f>+'[1]Valores Pecuniarios 2020'!G157</f>
        <v>6653000</v>
      </c>
      <c r="J17" s="83">
        <f>+E17*H17</f>
        <v>299385000</v>
      </c>
      <c r="K17" s="83">
        <f>+F17*I17</f>
        <v>226202000</v>
      </c>
      <c r="L17" s="409">
        <f>+J17+K17</f>
        <v>525587000</v>
      </c>
    </row>
    <row r="18" spans="1:12" hidden="1">
      <c r="A18" s="85" t="s">
        <v>23</v>
      </c>
      <c r="B18" s="86"/>
      <c r="C18" s="86"/>
      <c r="D18" s="87"/>
      <c r="E18" s="86"/>
      <c r="F18" s="86"/>
      <c r="G18" s="87"/>
      <c r="H18" s="87"/>
      <c r="I18" s="86"/>
      <c r="J18" s="83"/>
      <c r="K18" s="82"/>
      <c r="L18" s="84"/>
    </row>
    <row r="19" spans="1:12" hidden="1">
      <c r="A19" s="85" t="s">
        <v>24</v>
      </c>
      <c r="B19" s="86"/>
      <c r="C19" s="86"/>
      <c r="D19" s="87"/>
      <c r="E19" s="86"/>
      <c r="F19" s="86"/>
      <c r="G19" s="87"/>
      <c r="H19" s="87"/>
      <c r="I19" s="86"/>
      <c r="J19" s="83"/>
      <c r="K19" s="82"/>
      <c r="L19" s="84"/>
    </row>
    <row r="20" spans="1:12" hidden="1">
      <c r="A20" s="85" t="s">
        <v>25</v>
      </c>
      <c r="B20" s="86"/>
      <c r="C20" s="86"/>
      <c r="D20" s="87"/>
      <c r="E20" s="86"/>
      <c r="F20" s="86"/>
      <c r="G20" s="87"/>
      <c r="H20" s="87"/>
      <c r="I20" s="86"/>
      <c r="J20" s="83"/>
      <c r="K20" s="82"/>
      <c r="L20" s="84"/>
    </row>
    <row r="21" spans="1:12" hidden="1">
      <c r="A21" s="85" t="s">
        <v>26</v>
      </c>
      <c r="B21" s="86"/>
      <c r="C21" s="86"/>
      <c r="D21" s="87"/>
      <c r="E21" s="86"/>
      <c r="F21" s="86"/>
      <c r="G21" s="87"/>
      <c r="H21" s="87"/>
      <c r="I21" s="86"/>
      <c r="J21" s="83"/>
      <c r="K21" s="82"/>
      <c r="L21" s="84"/>
    </row>
    <row r="22" spans="1:12" hidden="1">
      <c r="A22" s="85" t="s">
        <v>32</v>
      </c>
      <c r="B22" s="86"/>
      <c r="C22" s="86"/>
      <c r="D22" s="87"/>
      <c r="E22" s="86"/>
      <c r="F22" s="86"/>
      <c r="G22" s="87"/>
      <c r="H22" s="87"/>
      <c r="I22" s="86"/>
      <c r="J22" s="83"/>
      <c r="K22" s="82"/>
      <c r="L22" s="84"/>
    </row>
    <row r="23" spans="1:12" hidden="1">
      <c r="A23" s="85" t="s">
        <v>28</v>
      </c>
      <c r="B23" s="86"/>
      <c r="C23" s="86"/>
      <c r="D23" s="87"/>
      <c r="E23" s="86"/>
      <c r="F23" s="86"/>
      <c r="G23" s="87"/>
      <c r="H23" s="87"/>
      <c r="I23" s="86"/>
      <c r="J23" s="83"/>
      <c r="K23" s="82"/>
      <c r="L23" s="84"/>
    </row>
    <row r="24" spans="1:12" hidden="1">
      <c r="A24" s="85" t="s">
        <v>29</v>
      </c>
      <c r="B24" s="86"/>
      <c r="C24" s="86"/>
      <c r="D24" s="87"/>
      <c r="E24" s="86"/>
      <c r="F24" s="86"/>
      <c r="G24" s="87"/>
      <c r="H24" s="87"/>
      <c r="I24" s="86"/>
      <c r="J24" s="83"/>
      <c r="K24" s="82"/>
      <c r="L24" s="84"/>
    </row>
    <row r="25" spans="1:12" hidden="1">
      <c r="A25" s="85" t="s">
        <v>33</v>
      </c>
      <c r="B25" s="86"/>
      <c r="C25" s="86"/>
      <c r="D25" s="87"/>
      <c r="E25" s="86"/>
      <c r="F25" s="86"/>
      <c r="G25" s="87"/>
      <c r="H25" s="87"/>
      <c r="I25" s="86"/>
      <c r="J25" s="83"/>
      <c r="K25" s="82"/>
      <c r="L25" s="84"/>
    </row>
    <row r="26" spans="1:12" ht="13.5" hidden="1" thickBot="1">
      <c r="A26" s="88" t="s">
        <v>31</v>
      </c>
      <c r="B26" s="89"/>
      <c r="C26" s="89"/>
      <c r="D26" s="90"/>
      <c r="E26" s="89"/>
      <c r="F26" s="89"/>
      <c r="G26" s="90"/>
      <c r="H26" s="90"/>
      <c r="I26" s="89"/>
      <c r="J26" s="83"/>
      <c r="K26" s="82"/>
      <c r="L26" s="84"/>
    </row>
    <row r="27" spans="1:12" ht="13.5" thickBot="1">
      <c r="A27" s="91" t="s">
        <v>127</v>
      </c>
      <c r="B27" s="432">
        <f>+SUM(B16:B26)</f>
        <v>71</v>
      </c>
      <c r="C27" s="432">
        <f t="shared" ref="C27:G27" si="0">+SUM(C16:C26)</f>
        <v>50</v>
      </c>
      <c r="D27" s="432">
        <f t="shared" si="0"/>
        <v>121</v>
      </c>
      <c r="E27" s="432">
        <f t="shared" si="0"/>
        <v>81</v>
      </c>
      <c r="F27" s="432">
        <f t="shared" si="0"/>
        <v>52</v>
      </c>
      <c r="G27" s="432">
        <f t="shared" si="0"/>
        <v>133</v>
      </c>
      <c r="H27" s="92"/>
      <c r="I27" s="92"/>
      <c r="J27" s="92"/>
      <c r="K27" s="92"/>
      <c r="L27" s="94">
        <f>SUM(L16:L26)</f>
        <v>884849000</v>
      </c>
    </row>
    <row r="28" spans="1:12" ht="15.75" customHeight="1" thickBot="1">
      <c r="A28" s="91" t="s">
        <v>128</v>
      </c>
      <c r="B28" s="92"/>
      <c r="C28" s="93"/>
      <c r="D28" s="92"/>
      <c r="E28" s="92"/>
      <c r="F28" s="92"/>
      <c r="G28" s="92"/>
      <c r="H28" s="92"/>
      <c r="I28" s="92"/>
      <c r="J28" s="92"/>
      <c r="K28" s="92"/>
      <c r="L28" s="94">
        <v>1000000</v>
      </c>
    </row>
    <row r="29" spans="1:12" ht="16.5" customHeight="1" thickBot="1">
      <c r="A29" s="95" t="s">
        <v>127</v>
      </c>
      <c r="B29" s="96"/>
      <c r="C29" s="97"/>
      <c r="D29" s="96"/>
      <c r="E29" s="96"/>
      <c r="F29" s="96"/>
      <c r="G29" s="96"/>
      <c r="H29" s="96"/>
      <c r="I29" s="96"/>
      <c r="J29" s="96"/>
      <c r="K29" s="96"/>
      <c r="L29" s="98">
        <f>+L27+L28</f>
        <v>885849000</v>
      </c>
    </row>
    <row r="30" spans="1:12" ht="16.5" customHeight="1">
      <c r="A30" s="99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</row>
    <row r="31" spans="1:12" ht="13.5" thickBot="1">
      <c r="A31" s="101"/>
      <c r="B31" s="101"/>
      <c r="C31" s="101"/>
      <c r="D31" s="101"/>
      <c r="E31" s="99"/>
      <c r="F31" s="100"/>
      <c r="G31" s="100"/>
      <c r="H31" s="100"/>
      <c r="I31" s="100"/>
      <c r="J31" s="100"/>
      <c r="K31" s="100"/>
      <c r="L31" s="100"/>
    </row>
    <row r="32" spans="1:12" ht="35.25" hidden="1" customHeight="1" thickBot="1">
      <c r="A32" s="532" t="s">
        <v>84</v>
      </c>
      <c r="B32" s="533"/>
      <c r="C32" s="533"/>
      <c r="D32" s="533"/>
      <c r="E32" s="533"/>
      <c r="F32" s="533"/>
      <c r="G32" s="533"/>
      <c r="H32" s="533"/>
      <c r="I32" s="533"/>
      <c r="J32" s="533"/>
      <c r="K32" s="533"/>
      <c r="L32" s="534"/>
    </row>
    <row r="33" spans="1:12" ht="16.5" hidden="1" customHeight="1">
      <c r="A33" s="517" t="s">
        <v>99</v>
      </c>
      <c r="B33" s="507" t="s">
        <v>17</v>
      </c>
      <c r="C33" s="507"/>
      <c r="D33" s="507"/>
      <c r="E33" s="509" t="s">
        <v>34</v>
      </c>
      <c r="F33" s="510"/>
      <c r="G33" s="510"/>
      <c r="H33" s="511"/>
      <c r="I33" s="507" t="s">
        <v>87</v>
      </c>
      <c r="J33" s="535" t="s">
        <v>89</v>
      </c>
      <c r="K33" s="535" t="s">
        <v>91</v>
      </c>
      <c r="L33" s="542" t="s">
        <v>85</v>
      </c>
    </row>
    <row r="34" spans="1:12" ht="45.75" hidden="1" customHeight="1" thickBot="1">
      <c r="A34" s="500"/>
      <c r="B34" s="76" t="s">
        <v>252</v>
      </c>
      <c r="C34" s="76" t="s">
        <v>253</v>
      </c>
      <c r="D34" s="76" t="s">
        <v>93</v>
      </c>
      <c r="E34" s="76" t="s">
        <v>252</v>
      </c>
      <c r="F34" s="76" t="s">
        <v>253</v>
      </c>
      <c r="G34" s="76" t="s">
        <v>254</v>
      </c>
      <c r="H34" s="76" t="s">
        <v>88</v>
      </c>
      <c r="I34" s="506"/>
      <c r="J34" s="536"/>
      <c r="K34" s="536"/>
      <c r="L34" s="543"/>
    </row>
    <row r="35" spans="1:12" hidden="1">
      <c r="A35" s="102" t="s">
        <v>18</v>
      </c>
      <c r="B35" s="86"/>
      <c r="C35" s="86"/>
      <c r="D35" s="87"/>
      <c r="E35" s="86"/>
      <c r="F35" s="86"/>
      <c r="G35" s="87"/>
      <c r="H35" s="87"/>
      <c r="I35" s="87"/>
      <c r="J35" s="86"/>
      <c r="K35" s="86"/>
      <c r="L35" s="103"/>
    </row>
    <row r="36" spans="1:12" hidden="1">
      <c r="A36" s="102" t="s">
        <v>19</v>
      </c>
      <c r="B36" s="86"/>
      <c r="C36" s="86"/>
      <c r="D36" s="87"/>
      <c r="E36" s="86"/>
      <c r="F36" s="86"/>
      <c r="G36" s="87"/>
      <c r="H36" s="87"/>
      <c r="I36" s="87"/>
      <c r="J36" s="86"/>
      <c r="K36" s="86"/>
      <c r="L36" s="103"/>
    </row>
    <row r="37" spans="1:12" hidden="1">
      <c r="A37" s="102" t="s">
        <v>20</v>
      </c>
      <c r="B37" s="86"/>
      <c r="C37" s="86"/>
      <c r="D37" s="87"/>
      <c r="E37" s="86"/>
      <c r="F37" s="86"/>
      <c r="G37" s="87"/>
      <c r="H37" s="87"/>
      <c r="I37" s="87"/>
      <c r="J37" s="86"/>
      <c r="K37" s="86"/>
      <c r="L37" s="103"/>
    </row>
    <row r="38" spans="1:12" hidden="1">
      <c r="A38" s="102" t="s">
        <v>21</v>
      </c>
      <c r="B38" s="86"/>
      <c r="C38" s="86"/>
      <c r="D38" s="87"/>
      <c r="E38" s="86"/>
      <c r="F38" s="86"/>
      <c r="G38" s="87"/>
      <c r="H38" s="87"/>
      <c r="I38" s="87"/>
      <c r="J38" s="86"/>
      <c r="K38" s="86"/>
      <c r="L38" s="103"/>
    </row>
    <row r="39" spans="1:12" hidden="1">
      <c r="A39" s="104" t="s">
        <v>22</v>
      </c>
      <c r="B39" s="86"/>
      <c r="C39" s="86"/>
      <c r="D39" s="87"/>
      <c r="E39" s="86"/>
      <c r="F39" s="86"/>
      <c r="G39" s="87"/>
      <c r="H39" s="87"/>
      <c r="I39" s="87"/>
      <c r="J39" s="86"/>
      <c r="K39" s="86"/>
      <c r="L39" s="103"/>
    </row>
    <row r="40" spans="1:12" hidden="1">
      <c r="A40" s="104" t="s">
        <v>23</v>
      </c>
      <c r="B40" s="86"/>
      <c r="C40" s="86"/>
      <c r="D40" s="87"/>
      <c r="E40" s="86"/>
      <c r="F40" s="86"/>
      <c r="G40" s="87"/>
      <c r="H40" s="87"/>
      <c r="I40" s="87"/>
      <c r="J40" s="86"/>
      <c r="K40" s="86"/>
      <c r="L40" s="103"/>
    </row>
    <row r="41" spans="1:12" hidden="1">
      <c r="A41" s="104" t="s">
        <v>24</v>
      </c>
      <c r="B41" s="86"/>
      <c r="C41" s="86"/>
      <c r="D41" s="87"/>
      <c r="E41" s="86"/>
      <c r="F41" s="86"/>
      <c r="G41" s="87"/>
      <c r="H41" s="87"/>
      <c r="I41" s="87"/>
      <c r="J41" s="86"/>
      <c r="K41" s="86"/>
      <c r="L41" s="103"/>
    </row>
    <row r="42" spans="1:12" hidden="1">
      <c r="A42" s="104" t="s">
        <v>25</v>
      </c>
      <c r="B42" s="86"/>
      <c r="C42" s="86"/>
      <c r="D42" s="87"/>
      <c r="E42" s="86"/>
      <c r="F42" s="86"/>
      <c r="G42" s="87"/>
      <c r="H42" s="87"/>
      <c r="I42" s="87"/>
      <c r="J42" s="86"/>
      <c r="K42" s="86"/>
      <c r="L42" s="103"/>
    </row>
    <row r="43" spans="1:12" hidden="1">
      <c r="A43" s="104" t="s">
        <v>26</v>
      </c>
      <c r="B43" s="86"/>
      <c r="C43" s="86"/>
      <c r="D43" s="87"/>
      <c r="E43" s="86"/>
      <c r="F43" s="86"/>
      <c r="G43" s="87"/>
      <c r="H43" s="87"/>
      <c r="I43" s="87"/>
      <c r="J43" s="86"/>
      <c r="K43" s="86"/>
      <c r="L43" s="103"/>
    </row>
    <row r="44" spans="1:12" hidden="1">
      <c r="A44" s="104" t="s">
        <v>27</v>
      </c>
      <c r="B44" s="86"/>
      <c r="C44" s="86"/>
      <c r="D44" s="87"/>
      <c r="E44" s="86"/>
      <c r="F44" s="86"/>
      <c r="G44" s="87"/>
      <c r="H44" s="87"/>
      <c r="I44" s="87"/>
      <c r="J44" s="86"/>
      <c r="K44" s="86"/>
      <c r="L44" s="103"/>
    </row>
    <row r="45" spans="1:12" hidden="1">
      <c r="A45" s="104" t="s">
        <v>28</v>
      </c>
      <c r="B45" s="86"/>
      <c r="C45" s="86"/>
      <c r="D45" s="87"/>
      <c r="E45" s="86"/>
      <c r="F45" s="86"/>
      <c r="G45" s="87"/>
      <c r="H45" s="87"/>
      <c r="I45" s="87"/>
      <c r="J45" s="86"/>
      <c r="K45" s="86"/>
      <c r="L45" s="103"/>
    </row>
    <row r="46" spans="1:12" hidden="1">
      <c r="A46" s="104" t="s">
        <v>29</v>
      </c>
      <c r="B46" s="86"/>
      <c r="C46" s="86"/>
      <c r="D46" s="87"/>
      <c r="E46" s="86"/>
      <c r="F46" s="86"/>
      <c r="G46" s="87"/>
      <c r="H46" s="87"/>
      <c r="I46" s="87"/>
      <c r="J46" s="86"/>
      <c r="K46" s="86"/>
      <c r="L46" s="103"/>
    </row>
    <row r="47" spans="1:12" hidden="1">
      <c r="A47" s="104" t="s">
        <v>30</v>
      </c>
      <c r="B47" s="86"/>
      <c r="C47" s="86"/>
      <c r="D47" s="87"/>
      <c r="E47" s="86"/>
      <c r="F47" s="86"/>
      <c r="G47" s="87"/>
      <c r="H47" s="87"/>
      <c r="I47" s="87"/>
      <c r="J47" s="86"/>
      <c r="K47" s="86"/>
      <c r="L47" s="103"/>
    </row>
    <row r="48" spans="1:12" ht="13.5" hidden="1" thickBot="1">
      <c r="A48" s="105" t="s">
        <v>31</v>
      </c>
      <c r="B48" s="89"/>
      <c r="C48" s="89"/>
      <c r="D48" s="90"/>
      <c r="E48" s="89"/>
      <c r="F48" s="89"/>
      <c r="G48" s="90"/>
      <c r="H48" s="90"/>
      <c r="I48" s="90"/>
      <c r="J48" s="89"/>
      <c r="K48" s="89"/>
      <c r="L48" s="106"/>
    </row>
    <row r="49" spans="1:12" ht="24.75" hidden="1" customHeight="1" thickBot="1">
      <c r="A49" s="95" t="s">
        <v>90</v>
      </c>
      <c r="B49" s="275">
        <f>SUM(B35:B48)</f>
        <v>0</v>
      </c>
      <c r="C49" s="275">
        <f t="shared" ref="C49:L49" si="1">SUM(C35:C48)</f>
        <v>0</v>
      </c>
      <c r="D49" s="275">
        <f t="shared" si="1"/>
        <v>0</v>
      </c>
      <c r="E49" s="275">
        <f t="shared" si="1"/>
        <v>0</v>
      </c>
      <c r="F49" s="275">
        <f t="shared" si="1"/>
        <v>0</v>
      </c>
      <c r="G49" s="275">
        <f t="shared" si="1"/>
        <v>0</v>
      </c>
      <c r="H49" s="275">
        <f t="shared" si="1"/>
        <v>0</v>
      </c>
      <c r="I49" s="275">
        <f t="shared" si="1"/>
        <v>0</v>
      </c>
      <c r="J49" s="275">
        <f t="shared" si="1"/>
        <v>0</v>
      </c>
      <c r="K49" s="275">
        <f t="shared" si="1"/>
        <v>0</v>
      </c>
      <c r="L49" s="276">
        <f t="shared" si="1"/>
        <v>0</v>
      </c>
    </row>
    <row r="50" spans="1:12" hidden="1">
      <c r="A50" s="107"/>
      <c r="B50" s="107"/>
      <c r="C50" s="107"/>
      <c r="D50" s="107"/>
      <c r="E50" s="99"/>
      <c r="F50" s="100"/>
      <c r="G50" s="100"/>
      <c r="H50" s="100"/>
      <c r="I50" s="100"/>
      <c r="J50" s="100"/>
      <c r="K50" s="100"/>
      <c r="L50" s="100"/>
    </row>
    <row r="51" spans="1:12" ht="13.5" hidden="1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</row>
    <row r="52" spans="1:12" s="109" customFormat="1" ht="15.75" thickBot="1">
      <c r="A52" s="494" t="s">
        <v>94</v>
      </c>
      <c r="B52" s="495"/>
      <c r="C52" s="495"/>
      <c r="D52" s="495"/>
      <c r="E52" s="495"/>
      <c r="F52" s="495"/>
      <c r="G52" s="495"/>
      <c r="H52" s="495"/>
      <c r="I52" s="495"/>
      <c r="J52" s="495"/>
      <c r="K52" s="495"/>
      <c r="L52" s="496"/>
    </row>
    <row r="53" spans="1:12" ht="15.75" customHeight="1">
      <c r="A53" s="537" t="s">
        <v>98</v>
      </c>
      <c r="B53" s="538"/>
      <c r="C53" s="509" t="s">
        <v>106</v>
      </c>
      <c r="D53" s="510"/>
      <c r="E53" s="511"/>
      <c r="F53" s="509" t="s">
        <v>107</v>
      </c>
      <c r="G53" s="510"/>
      <c r="H53" s="511"/>
      <c r="I53" s="509" t="s">
        <v>108</v>
      </c>
      <c r="J53" s="510"/>
      <c r="K53" s="511"/>
      <c r="L53" s="542" t="s">
        <v>110</v>
      </c>
    </row>
    <row r="54" spans="1:12" ht="34.5" customHeight="1" thickBot="1">
      <c r="A54" s="539"/>
      <c r="B54" s="541"/>
      <c r="C54" s="77" t="s">
        <v>100</v>
      </c>
      <c r="D54" s="77" t="s">
        <v>102</v>
      </c>
      <c r="E54" s="77" t="s">
        <v>103</v>
      </c>
      <c r="F54" s="77" t="s">
        <v>101</v>
      </c>
      <c r="G54" s="77" t="s">
        <v>104</v>
      </c>
      <c r="H54" s="77" t="s">
        <v>105</v>
      </c>
      <c r="I54" s="77" t="s">
        <v>101</v>
      </c>
      <c r="J54" s="77" t="s">
        <v>104</v>
      </c>
      <c r="K54" s="77" t="s">
        <v>105</v>
      </c>
      <c r="L54" s="543"/>
    </row>
    <row r="55" spans="1:12">
      <c r="A55" s="110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2"/>
    </row>
    <row r="56" spans="1:12">
      <c r="A56" s="113" t="s">
        <v>35</v>
      </c>
      <c r="B56" s="114"/>
      <c r="C56" s="115"/>
      <c r="D56" s="434">
        <f>+MROUND(AVERAGE($H$16:$I$25),1000)</f>
        <v>6653000</v>
      </c>
      <c r="E56" s="435">
        <f>+D56*C56</f>
        <v>0</v>
      </c>
      <c r="F56" s="436"/>
      <c r="G56" s="434"/>
      <c r="H56" s="437"/>
      <c r="I56" s="436"/>
      <c r="J56" s="436"/>
      <c r="K56" s="437"/>
      <c r="L56" s="438">
        <f>+E56</f>
        <v>0</v>
      </c>
    </row>
    <row r="57" spans="1:12">
      <c r="A57" s="113" t="s">
        <v>36</v>
      </c>
      <c r="B57" s="114"/>
      <c r="C57" s="115"/>
      <c r="D57" s="434">
        <f t="shared" ref="D57:D66" si="2">+MROUND(AVERAGE($H$16:$I$25),1000)</f>
        <v>6653000</v>
      </c>
      <c r="E57" s="435">
        <f t="shared" ref="E57:E66" si="3">+D57*C57</f>
        <v>0</v>
      </c>
      <c r="F57" s="436"/>
      <c r="G57" s="434"/>
      <c r="H57" s="437"/>
      <c r="I57" s="436"/>
      <c r="J57" s="436"/>
      <c r="K57" s="437"/>
      <c r="L57" s="438">
        <f t="shared" ref="L57:L66" si="4">+E57</f>
        <v>0</v>
      </c>
    </row>
    <row r="58" spans="1:12">
      <c r="A58" s="113" t="s">
        <v>37</v>
      </c>
      <c r="B58" s="114"/>
      <c r="C58" s="115"/>
      <c r="D58" s="434">
        <f t="shared" si="2"/>
        <v>6653000</v>
      </c>
      <c r="E58" s="435">
        <f t="shared" si="3"/>
        <v>0</v>
      </c>
      <c r="F58" s="436"/>
      <c r="G58" s="434"/>
      <c r="H58" s="437"/>
      <c r="I58" s="436"/>
      <c r="J58" s="436"/>
      <c r="K58" s="437"/>
      <c r="L58" s="438">
        <f t="shared" si="4"/>
        <v>0</v>
      </c>
    </row>
    <row r="59" spans="1:12">
      <c r="A59" s="113" t="s">
        <v>38</v>
      </c>
      <c r="B59" s="114"/>
      <c r="C59" s="115">
        <v>0</v>
      </c>
      <c r="D59" s="434">
        <f t="shared" si="2"/>
        <v>6653000</v>
      </c>
      <c r="E59" s="435">
        <f t="shared" si="3"/>
        <v>0</v>
      </c>
      <c r="F59" s="436"/>
      <c r="G59" s="434"/>
      <c r="H59" s="437"/>
      <c r="I59" s="436"/>
      <c r="J59" s="436"/>
      <c r="K59" s="437"/>
      <c r="L59" s="438">
        <f t="shared" si="4"/>
        <v>0</v>
      </c>
    </row>
    <row r="60" spans="1:12">
      <c r="A60" s="113" t="s">
        <v>39</v>
      </c>
      <c r="B60" s="114"/>
      <c r="C60" s="115">
        <v>8</v>
      </c>
      <c r="D60" s="434">
        <f t="shared" si="2"/>
        <v>6653000</v>
      </c>
      <c r="E60" s="435">
        <f t="shared" si="3"/>
        <v>53224000</v>
      </c>
      <c r="F60" s="436"/>
      <c r="G60" s="434"/>
      <c r="H60" s="437"/>
      <c r="I60" s="436"/>
      <c r="J60" s="436"/>
      <c r="K60" s="437"/>
      <c r="L60" s="438">
        <f t="shared" si="4"/>
        <v>53224000</v>
      </c>
    </row>
    <row r="61" spans="1:12">
      <c r="A61" s="113" t="s">
        <v>40</v>
      </c>
      <c r="B61" s="114"/>
      <c r="C61" s="115"/>
      <c r="D61" s="434">
        <f t="shared" si="2"/>
        <v>6653000</v>
      </c>
      <c r="E61" s="435">
        <f t="shared" si="3"/>
        <v>0</v>
      </c>
      <c r="F61" s="436"/>
      <c r="G61" s="434"/>
      <c r="H61" s="437"/>
      <c r="I61" s="436"/>
      <c r="J61" s="436"/>
      <c r="K61" s="437"/>
      <c r="L61" s="438">
        <f t="shared" si="4"/>
        <v>0</v>
      </c>
    </row>
    <row r="62" spans="1:12">
      <c r="A62" s="113" t="s">
        <v>41</v>
      </c>
      <c r="B62" s="114"/>
      <c r="C62" s="115"/>
      <c r="D62" s="434">
        <f t="shared" si="2"/>
        <v>6653000</v>
      </c>
      <c r="E62" s="435">
        <f t="shared" si="3"/>
        <v>0</v>
      </c>
      <c r="F62" s="436"/>
      <c r="G62" s="434"/>
      <c r="H62" s="437"/>
      <c r="I62" s="436"/>
      <c r="J62" s="436"/>
      <c r="K62" s="437"/>
      <c r="L62" s="438">
        <f t="shared" si="4"/>
        <v>0</v>
      </c>
    </row>
    <row r="63" spans="1:12">
      <c r="A63" s="113" t="s">
        <v>42</v>
      </c>
      <c r="B63" s="114"/>
      <c r="C63" s="115"/>
      <c r="D63" s="434">
        <f t="shared" si="2"/>
        <v>6653000</v>
      </c>
      <c r="E63" s="435">
        <f t="shared" si="3"/>
        <v>0</v>
      </c>
      <c r="F63" s="436"/>
      <c r="G63" s="434"/>
      <c r="H63" s="437"/>
      <c r="I63" s="436"/>
      <c r="J63" s="436"/>
      <c r="K63" s="437"/>
      <c r="L63" s="438">
        <f t="shared" si="4"/>
        <v>0</v>
      </c>
    </row>
    <row r="64" spans="1:12">
      <c r="A64" s="113" t="s">
        <v>43</v>
      </c>
      <c r="B64" s="114"/>
      <c r="C64" s="115"/>
      <c r="D64" s="434">
        <f t="shared" si="2"/>
        <v>6653000</v>
      </c>
      <c r="E64" s="435">
        <f t="shared" si="3"/>
        <v>0</v>
      </c>
      <c r="F64" s="436"/>
      <c r="G64" s="434"/>
      <c r="H64" s="437"/>
      <c r="I64" s="436"/>
      <c r="J64" s="436"/>
      <c r="K64" s="437"/>
      <c r="L64" s="438">
        <f t="shared" si="4"/>
        <v>0</v>
      </c>
    </row>
    <row r="65" spans="1:12">
      <c r="A65" s="113" t="s">
        <v>1395</v>
      </c>
      <c r="B65" s="114"/>
      <c r="C65" s="115"/>
      <c r="D65" s="434">
        <f t="shared" si="2"/>
        <v>6653000</v>
      </c>
      <c r="E65" s="435">
        <f t="shared" si="3"/>
        <v>0</v>
      </c>
      <c r="F65" s="436"/>
      <c r="G65" s="434"/>
      <c r="H65" s="437"/>
      <c r="I65" s="436"/>
      <c r="J65" s="436"/>
      <c r="K65" s="437"/>
      <c r="L65" s="438">
        <f t="shared" si="4"/>
        <v>0</v>
      </c>
    </row>
    <row r="66" spans="1:12" ht="13.5" thickBot="1">
      <c r="A66" s="113" t="s">
        <v>1396</v>
      </c>
      <c r="B66" s="114"/>
      <c r="C66" s="115">
        <v>2.5</v>
      </c>
      <c r="D66" s="434">
        <f t="shared" si="2"/>
        <v>6653000</v>
      </c>
      <c r="E66" s="435">
        <f t="shared" si="3"/>
        <v>16632500</v>
      </c>
      <c r="F66" s="436"/>
      <c r="G66" s="434"/>
      <c r="H66" s="437"/>
      <c r="I66" s="436"/>
      <c r="J66" s="436"/>
      <c r="K66" s="437"/>
      <c r="L66" s="438">
        <f t="shared" si="4"/>
        <v>16632500</v>
      </c>
    </row>
    <row r="67" spans="1:12" ht="16.5" customHeight="1" thickBot="1">
      <c r="A67" s="497" t="s">
        <v>95</v>
      </c>
      <c r="B67" s="498"/>
      <c r="C67" s="92"/>
      <c r="D67" s="92"/>
      <c r="E67" s="92"/>
      <c r="F67" s="92"/>
      <c r="G67" s="92"/>
      <c r="H67" s="92"/>
      <c r="I67" s="92"/>
      <c r="J67" s="92"/>
      <c r="K67" s="116"/>
      <c r="L67" s="94">
        <f>SUM(L56:L66)</f>
        <v>69856500</v>
      </c>
    </row>
    <row r="68" spans="1:12">
      <c r="A68" s="117" t="s">
        <v>44</v>
      </c>
      <c r="B68" s="118"/>
      <c r="C68" s="439"/>
      <c r="D68" s="439"/>
      <c r="E68" s="440"/>
      <c r="F68" s="441">
        <v>19</v>
      </c>
      <c r="G68" s="439">
        <f>+MROUND($D$56*0.1,1000)</f>
        <v>665000</v>
      </c>
      <c r="H68" s="435">
        <f>+G68*F68</f>
        <v>12635000</v>
      </c>
      <c r="I68" s="441"/>
      <c r="J68" s="441"/>
      <c r="K68" s="440"/>
      <c r="L68" s="442">
        <f>+H68</f>
        <v>12635000</v>
      </c>
    </row>
    <row r="69" spans="1:12">
      <c r="A69" s="119" t="s">
        <v>45</v>
      </c>
      <c r="B69" s="120"/>
      <c r="C69" s="434"/>
      <c r="D69" s="434"/>
      <c r="E69" s="437"/>
      <c r="F69" s="436"/>
      <c r="G69" s="439">
        <f t="shared" ref="G69:G78" si="5">+MROUND($D$56*0.1,1000)</f>
        <v>665000</v>
      </c>
      <c r="H69" s="435">
        <f t="shared" ref="H69:H78" si="6">+G69*F69</f>
        <v>0</v>
      </c>
      <c r="I69" s="436"/>
      <c r="J69" s="436"/>
      <c r="K69" s="437"/>
      <c r="L69" s="438">
        <f t="shared" ref="L69:L78" si="7">+H69</f>
        <v>0</v>
      </c>
    </row>
    <row r="70" spans="1:12">
      <c r="A70" s="119" t="s">
        <v>46</v>
      </c>
      <c r="B70" s="120"/>
      <c r="C70" s="434"/>
      <c r="D70" s="434"/>
      <c r="E70" s="437"/>
      <c r="F70" s="436"/>
      <c r="G70" s="439">
        <f t="shared" si="5"/>
        <v>665000</v>
      </c>
      <c r="H70" s="435">
        <f t="shared" si="6"/>
        <v>0</v>
      </c>
      <c r="I70" s="436"/>
      <c r="J70" s="436"/>
      <c r="K70" s="437"/>
      <c r="L70" s="438">
        <f t="shared" si="7"/>
        <v>0</v>
      </c>
    </row>
    <row r="71" spans="1:12">
      <c r="A71" s="119" t="s">
        <v>47</v>
      </c>
      <c r="B71" s="120"/>
      <c r="C71" s="434"/>
      <c r="D71" s="434"/>
      <c r="E71" s="437"/>
      <c r="F71" s="436"/>
      <c r="G71" s="439">
        <f t="shared" si="5"/>
        <v>665000</v>
      </c>
      <c r="H71" s="435">
        <f t="shared" si="6"/>
        <v>0</v>
      </c>
      <c r="I71" s="436"/>
      <c r="J71" s="436"/>
      <c r="K71" s="437"/>
      <c r="L71" s="438">
        <f t="shared" si="7"/>
        <v>0</v>
      </c>
    </row>
    <row r="72" spans="1:12" s="121" customFormat="1">
      <c r="A72" s="119" t="s">
        <v>48</v>
      </c>
      <c r="B72" s="120"/>
      <c r="C72" s="434"/>
      <c r="D72" s="434"/>
      <c r="E72" s="437"/>
      <c r="F72" s="436"/>
      <c r="G72" s="439">
        <f t="shared" si="5"/>
        <v>665000</v>
      </c>
      <c r="H72" s="435">
        <f t="shared" si="6"/>
        <v>0</v>
      </c>
      <c r="I72" s="436"/>
      <c r="J72" s="436"/>
      <c r="K72" s="437"/>
      <c r="L72" s="438">
        <f t="shared" si="7"/>
        <v>0</v>
      </c>
    </row>
    <row r="73" spans="1:12">
      <c r="A73" s="119" t="s">
        <v>49</v>
      </c>
      <c r="B73" s="120"/>
      <c r="C73" s="434"/>
      <c r="D73" s="434"/>
      <c r="E73" s="437"/>
      <c r="F73" s="436"/>
      <c r="G73" s="439">
        <f t="shared" si="5"/>
        <v>665000</v>
      </c>
      <c r="H73" s="435">
        <f t="shared" si="6"/>
        <v>0</v>
      </c>
      <c r="I73" s="436"/>
      <c r="J73" s="436"/>
      <c r="K73" s="437"/>
      <c r="L73" s="438">
        <f t="shared" si="7"/>
        <v>0</v>
      </c>
    </row>
    <row r="74" spans="1:12">
      <c r="A74" s="119" t="s">
        <v>50</v>
      </c>
      <c r="B74" s="120"/>
      <c r="C74" s="434"/>
      <c r="D74" s="434"/>
      <c r="E74" s="437"/>
      <c r="F74" s="436"/>
      <c r="G74" s="439">
        <f t="shared" si="5"/>
        <v>665000</v>
      </c>
      <c r="H74" s="435">
        <f t="shared" si="6"/>
        <v>0</v>
      </c>
      <c r="I74" s="436"/>
      <c r="J74" s="436"/>
      <c r="K74" s="437"/>
      <c r="L74" s="438">
        <f t="shared" si="7"/>
        <v>0</v>
      </c>
    </row>
    <row r="75" spans="1:12">
      <c r="A75" s="119" t="s">
        <v>51</v>
      </c>
      <c r="B75" s="120"/>
      <c r="C75" s="434"/>
      <c r="D75" s="434"/>
      <c r="E75" s="437"/>
      <c r="F75" s="436"/>
      <c r="G75" s="439">
        <f t="shared" si="5"/>
        <v>665000</v>
      </c>
      <c r="H75" s="435">
        <f t="shared" si="6"/>
        <v>0</v>
      </c>
      <c r="I75" s="436"/>
      <c r="J75" s="436"/>
      <c r="K75" s="437"/>
      <c r="L75" s="438">
        <f t="shared" si="7"/>
        <v>0</v>
      </c>
    </row>
    <row r="76" spans="1:12">
      <c r="A76" s="119" t="s">
        <v>52</v>
      </c>
      <c r="B76" s="120"/>
      <c r="C76" s="434"/>
      <c r="D76" s="434"/>
      <c r="E76" s="437"/>
      <c r="F76" s="436"/>
      <c r="G76" s="439">
        <f t="shared" si="5"/>
        <v>665000</v>
      </c>
      <c r="H76" s="443">
        <f t="shared" si="6"/>
        <v>0</v>
      </c>
      <c r="I76" s="436"/>
      <c r="J76" s="436"/>
      <c r="K76" s="437"/>
      <c r="L76" s="438">
        <f t="shared" si="7"/>
        <v>0</v>
      </c>
    </row>
    <row r="77" spans="1:12">
      <c r="A77" s="119" t="s">
        <v>1397</v>
      </c>
      <c r="B77" s="120"/>
      <c r="C77" s="434"/>
      <c r="D77" s="434"/>
      <c r="E77" s="437"/>
      <c r="F77" s="436"/>
      <c r="G77" s="439">
        <f t="shared" si="5"/>
        <v>665000</v>
      </c>
      <c r="H77" s="435">
        <f t="shared" si="6"/>
        <v>0</v>
      </c>
      <c r="I77" s="436"/>
      <c r="J77" s="436"/>
      <c r="K77" s="437"/>
      <c r="L77" s="438">
        <f t="shared" si="7"/>
        <v>0</v>
      </c>
    </row>
    <row r="78" spans="1:12" ht="13.5" thickBot="1">
      <c r="A78" s="119" t="s">
        <v>1398</v>
      </c>
      <c r="B78" s="433"/>
      <c r="C78" s="434"/>
      <c r="D78" s="434"/>
      <c r="E78" s="437"/>
      <c r="F78" s="436"/>
      <c r="G78" s="439">
        <f t="shared" si="5"/>
        <v>665000</v>
      </c>
      <c r="H78" s="443">
        <f t="shared" si="6"/>
        <v>0</v>
      </c>
      <c r="I78" s="436"/>
      <c r="J78" s="436"/>
      <c r="K78" s="437"/>
      <c r="L78" s="438">
        <f t="shared" si="7"/>
        <v>0</v>
      </c>
    </row>
    <row r="79" spans="1:12" ht="16.5" customHeight="1" thickBot="1">
      <c r="A79" s="497" t="s">
        <v>96</v>
      </c>
      <c r="B79" s="498"/>
      <c r="C79" s="92"/>
      <c r="D79" s="92"/>
      <c r="E79" s="92"/>
      <c r="F79" s="92"/>
      <c r="G79" s="92"/>
      <c r="H79" s="92"/>
      <c r="I79" s="92"/>
      <c r="J79" s="92"/>
      <c r="K79" s="116"/>
      <c r="L79" s="94">
        <f>SUM(L68:L77)</f>
        <v>12635000</v>
      </c>
    </row>
    <row r="80" spans="1:12" ht="16.5" customHeight="1" thickBot="1">
      <c r="A80" s="497" t="s">
        <v>109</v>
      </c>
      <c r="B80" s="498"/>
      <c r="C80" s="92"/>
      <c r="D80" s="92"/>
      <c r="E80" s="92"/>
      <c r="F80" s="92"/>
      <c r="G80" s="92"/>
      <c r="H80" s="92"/>
      <c r="I80" s="92"/>
      <c r="J80" s="92"/>
      <c r="K80" s="116"/>
      <c r="L80" s="94">
        <v>0</v>
      </c>
    </row>
    <row r="81" spans="1:12" ht="16.5" customHeight="1" thickBot="1">
      <c r="A81" s="544" t="s">
        <v>97</v>
      </c>
      <c r="B81" s="545"/>
      <c r="C81" s="96"/>
      <c r="D81" s="96"/>
      <c r="E81" s="96"/>
      <c r="F81" s="96"/>
      <c r="G81" s="96"/>
      <c r="H81" s="96"/>
      <c r="I81" s="96"/>
      <c r="J81" s="96"/>
      <c r="K81" s="122"/>
      <c r="L81" s="98">
        <f>+L67+L79+L80</f>
        <v>82491500</v>
      </c>
    </row>
    <row r="82" spans="1:12" ht="16.5" customHeight="1">
      <c r="A82" s="123"/>
      <c r="B82" s="123"/>
      <c r="C82" s="123"/>
      <c r="D82" s="123"/>
      <c r="E82" s="124"/>
      <c r="F82" s="124"/>
      <c r="G82" s="124"/>
      <c r="H82" s="124"/>
      <c r="I82" s="124"/>
      <c r="J82" s="124"/>
      <c r="K82" s="124"/>
      <c r="L82" s="124"/>
    </row>
    <row r="83" spans="1:12" s="121" customFormat="1" ht="13.5" thickBot="1">
      <c r="A83" s="125"/>
      <c r="B83" s="125"/>
      <c r="C83" s="125"/>
      <c r="D83" s="125"/>
      <c r="E83" s="125"/>
      <c r="F83" s="126"/>
      <c r="G83" s="126"/>
      <c r="H83" s="126"/>
      <c r="I83" s="126"/>
      <c r="J83" s="126"/>
      <c r="K83" s="126"/>
      <c r="L83" s="126"/>
    </row>
    <row r="84" spans="1:12" ht="16.5" customHeight="1" thickBot="1">
      <c r="A84" s="483" t="s">
        <v>275</v>
      </c>
      <c r="B84" s="484"/>
      <c r="C84" s="484"/>
      <c r="D84" s="484"/>
      <c r="E84" s="484"/>
      <c r="F84" s="484"/>
      <c r="G84" s="483" t="s">
        <v>111</v>
      </c>
      <c r="H84" s="484"/>
      <c r="I84" s="484"/>
      <c r="J84" s="484"/>
      <c r="K84" s="484"/>
      <c r="L84" s="485"/>
    </row>
    <row r="85" spans="1:12" ht="15.75" customHeight="1">
      <c r="A85" s="537" t="s">
        <v>98</v>
      </c>
      <c r="B85" s="523"/>
      <c r="C85" s="538"/>
      <c r="D85" s="507" t="s">
        <v>278</v>
      </c>
      <c r="E85" s="507"/>
      <c r="F85" s="508"/>
      <c r="G85" s="499" t="s">
        <v>98</v>
      </c>
      <c r="H85" s="501"/>
      <c r="I85" s="501"/>
      <c r="J85" s="501" t="s">
        <v>279</v>
      </c>
      <c r="K85" s="501"/>
      <c r="L85" s="512"/>
    </row>
    <row r="86" spans="1:12" ht="16.5" customHeight="1" thickBot="1">
      <c r="A86" s="539"/>
      <c r="B86" s="540"/>
      <c r="C86" s="541"/>
      <c r="D86" s="76" t="s">
        <v>54</v>
      </c>
      <c r="E86" s="76" t="s">
        <v>55</v>
      </c>
      <c r="F86" s="127" t="s">
        <v>16</v>
      </c>
      <c r="G86" s="500"/>
      <c r="H86" s="506"/>
      <c r="I86" s="506"/>
      <c r="J86" s="76" t="s">
        <v>54</v>
      </c>
      <c r="K86" s="76" t="s">
        <v>55</v>
      </c>
      <c r="L86" s="127" t="s">
        <v>16</v>
      </c>
    </row>
    <row r="87" spans="1:12" ht="15" customHeight="1">
      <c r="A87" s="128" t="s">
        <v>56</v>
      </c>
      <c r="B87" s="129"/>
      <c r="C87" s="130"/>
      <c r="D87" s="131"/>
      <c r="E87" s="132"/>
      <c r="F87" s="133"/>
      <c r="G87" s="513" t="s">
        <v>114</v>
      </c>
      <c r="H87" s="514"/>
      <c r="I87" s="515"/>
      <c r="J87" s="134"/>
      <c r="K87" s="135"/>
      <c r="L87" s="136"/>
    </row>
    <row r="88" spans="1:12" ht="15" customHeight="1">
      <c r="A88" s="137" t="s">
        <v>57</v>
      </c>
      <c r="B88" s="114"/>
      <c r="C88" s="138"/>
      <c r="D88" s="444">
        <f>+ROUND(G16*1.15,0)</f>
        <v>62</v>
      </c>
      <c r="E88" s="445">
        <v>131000</v>
      </c>
      <c r="F88" s="446">
        <f t="shared" ref="F88:F104" si="8">+D88*E88</f>
        <v>8122000</v>
      </c>
      <c r="G88" s="502" t="s">
        <v>115</v>
      </c>
      <c r="H88" s="503"/>
      <c r="I88" s="504"/>
      <c r="J88" s="139"/>
      <c r="K88" s="140"/>
      <c r="L88" s="141"/>
    </row>
    <row r="89" spans="1:12">
      <c r="A89" s="137" t="s">
        <v>58</v>
      </c>
      <c r="B89" s="114"/>
      <c r="C89" s="138"/>
      <c r="D89" s="444">
        <v>35</v>
      </c>
      <c r="E89" s="447">
        <v>17000</v>
      </c>
      <c r="F89" s="446">
        <f t="shared" si="8"/>
        <v>595000</v>
      </c>
      <c r="G89" s="119" t="s">
        <v>116</v>
      </c>
      <c r="H89" s="142"/>
      <c r="I89" s="143"/>
      <c r="J89" s="144"/>
      <c r="K89" s="140"/>
      <c r="L89" s="141"/>
    </row>
    <row r="90" spans="1:12">
      <c r="A90" s="137" t="s">
        <v>59</v>
      </c>
      <c r="B90" s="114"/>
      <c r="C90" s="138"/>
      <c r="D90" s="444"/>
      <c r="E90" s="447">
        <v>29000</v>
      </c>
      <c r="F90" s="446">
        <f t="shared" si="8"/>
        <v>0</v>
      </c>
      <c r="G90" s="119" t="s">
        <v>117</v>
      </c>
      <c r="H90" s="142"/>
      <c r="I90" s="143"/>
      <c r="J90" s="144"/>
      <c r="K90" s="140"/>
      <c r="L90" s="141"/>
    </row>
    <row r="91" spans="1:12">
      <c r="A91" s="137" t="s">
        <v>60</v>
      </c>
      <c r="B91" s="114"/>
      <c r="C91" s="138"/>
      <c r="D91" s="444"/>
      <c r="E91" s="447">
        <v>0</v>
      </c>
      <c r="F91" s="446">
        <f t="shared" si="8"/>
        <v>0</v>
      </c>
      <c r="G91" s="119" t="s">
        <v>118</v>
      </c>
      <c r="H91" s="142"/>
      <c r="I91" s="143"/>
      <c r="J91" s="144"/>
      <c r="K91" s="140"/>
      <c r="L91" s="141"/>
    </row>
    <row r="92" spans="1:12">
      <c r="A92" s="137" t="s">
        <v>61</v>
      </c>
      <c r="B92" s="114"/>
      <c r="C92" s="138"/>
      <c r="D92" s="444"/>
      <c r="E92" s="447">
        <v>0</v>
      </c>
      <c r="F92" s="446">
        <f t="shared" si="8"/>
        <v>0</v>
      </c>
      <c r="G92" s="119" t="s">
        <v>119</v>
      </c>
      <c r="H92" s="142"/>
      <c r="I92" s="143"/>
      <c r="J92" s="144"/>
      <c r="K92" s="140"/>
      <c r="L92" s="141"/>
    </row>
    <row r="93" spans="1:12">
      <c r="A93" s="137" t="s">
        <v>62</v>
      </c>
      <c r="B93" s="114"/>
      <c r="C93" s="138"/>
      <c r="D93" s="444">
        <v>50</v>
      </c>
      <c r="E93" s="447">
        <v>872000</v>
      </c>
      <c r="F93" s="446">
        <f t="shared" si="8"/>
        <v>43600000</v>
      </c>
      <c r="G93" s="119" t="s">
        <v>122</v>
      </c>
      <c r="H93" s="142"/>
      <c r="I93" s="143"/>
      <c r="J93" s="144"/>
      <c r="K93" s="140"/>
      <c r="L93" s="141"/>
    </row>
    <row r="94" spans="1:12">
      <c r="A94" s="137" t="s">
        <v>63</v>
      </c>
      <c r="B94" s="114"/>
      <c r="C94" s="138"/>
      <c r="D94" s="444">
        <v>5</v>
      </c>
      <c r="E94" s="447">
        <v>1090000</v>
      </c>
      <c r="F94" s="446">
        <f t="shared" si="8"/>
        <v>5450000</v>
      </c>
      <c r="G94" s="119" t="s">
        <v>121</v>
      </c>
      <c r="H94" s="142"/>
      <c r="I94" s="143"/>
      <c r="J94" s="144"/>
      <c r="K94" s="140"/>
      <c r="L94" s="141"/>
    </row>
    <row r="95" spans="1:12">
      <c r="A95" s="137" t="s">
        <v>64</v>
      </c>
      <c r="B95" s="114"/>
      <c r="C95" s="138"/>
      <c r="D95" s="444"/>
      <c r="E95" s="447">
        <v>163000</v>
      </c>
      <c r="F95" s="446">
        <f t="shared" si="8"/>
        <v>0</v>
      </c>
      <c r="G95" s="119" t="s">
        <v>123</v>
      </c>
      <c r="H95" s="142"/>
      <c r="I95" s="143"/>
      <c r="J95" s="144"/>
      <c r="K95" s="140"/>
      <c r="L95" s="141"/>
    </row>
    <row r="96" spans="1:12">
      <c r="A96" s="137" t="s">
        <v>65</v>
      </c>
      <c r="B96" s="114"/>
      <c r="C96" s="138"/>
      <c r="D96" s="444"/>
      <c r="E96" s="447">
        <v>0</v>
      </c>
      <c r="F96" s="446">
        <f t="shared" si="8"/>
        <v>0</v>
      </c>
      <c r="G96" s="119" t="s">
        <v>124</v>
      </c>
      <c r="H96" s="142"/>
      <c r="I96" s="143"/>
      <c r="J96" s="144"/>
      <c r="K96" s="140"/>
      <c r="L96" s="141"/>
    </row>
    <row r="97" spans="1:12">
      <c r="A97" s="137" t="s">
        <v>66</v>
      </c>
      <c r="B97" s="114"/>
      <c r="C97" s="138"/>
      <c r="D97" s="444"/>
      <c r="E97" s="447">
        <v>120000</v>
      </c>
      <c r="F97" s="446">
        <f t="shared" si="8"/>
        <v>0</v>
      </c>
      <c r="G97" s="119" t="s">
        <v>125</v>
      </c>
      <c r="H97" s="142"/>
      <c r="I97" s="143"/>
      <c r="J97" s="144"/>
      <c r="K97" s="140"/>
      <c r="L97" s="141"/>
    </row>
    <row r="98" spans="1:12">
      <c r="A98" s="137" t="s">
        <v>67</v>
      </c>
      <c r="B98" s="114"/>
      <c r="C98" s="138"/>
      <c r="D98" s="444"/>
      <c r="E98" s="447">
        <v>600000</v>
      </c>
      <c r="F98" s="446">
        <f t="shared" si="8"/>
        <v>0</v>
      </c>
      <c r="G98" s="119" t="s">
        <v>126</v>
      </c>
      <c r="H98" s="142"/>
      <c r="I98" s="143"/>
      <c r="J98" s="144"/>
      <c r="K98" s="140"/>
      <c r="L98" s="141"/>
    </row>
    <row r="99" spans="1:12">
      <c r="A99" s="137" t="s">
        <v>68</v>
      </c>
      <c r="B99" s="114"/>
      <c r="C99" s="138"/>
      <c r="D99" s="444"/>
      <c r="E99" s="447">
        <v>164000</v>
      </c>
      <c r="F99" s="446">
        <f t="shared" si="8"/>
        <v>0</v>
      </c>
      <c r="G99" s="119" t="s">
        <v>74</v>
      </c>
      <c r="H99" s="142"/>
      <c r="I99" s="143"/>
      <c r="J99" s="144"/>
      <c r="K99" s="140"/>
      <c r="L99" s="141"/>
    </row>
    <row r="100" spans="1:12">
      <c r="A100" s="137" t="s">
        <v>69</v>
      </c>
      <c r="B100" s="114"/>
      <c r="C100" s="138"/>
      <c r="D100" s="444"/>
      <c r="E100" s="447">
        <v>164000</v>
      </c>
      <c r="F100" s="446">
        <f t="shared" si="8"/>
        <v>0</v>
      </c>
      <c r="G100" s="119" t="s">
        <v>75</v>
      </c>
      <c r="H100" s="142"/>
      <c r="I100" s="143"/>
      <c r="J100" s="144"/>
      <c r="K100" s="140"/>
      <c r="L100" s="141"/>
    </row>
    <row r="101" spans="1:12">
      <c r="A101" s="137" t="s">
        <v>70</v>
      </c>
      <c r="B101" s="114"/>
      <c r="C101" s="138"/>
      <c r="D101" s="444"/>
      <c r="E101" s="447">
        <v>164000</v>
      </c>
      <c r="F101" s="446">
        <f t="shared" si="8"/>
        <v>0</v>
      </c>
      <c r="G101" s="119" t="s">
        <v>76</v>
      </c>
      <c r="H101" s="142"/>
      <c r="I101" s="143"/>
      <c r="J101" s="144"/>
      <c r="K101" s="140"/>
      <c r="L101" s="141"/>
    </row>
    <row r="102" spans="1:12">
      <c r="A102" s="145" t="s">
        <v>120</v>
      </c>
      <c r="B102" s="146"/>
      <c r="C102" s="147"/>
      <c r="D102" s="448"/>
      <c r="E102" s="449">
        <v>890000</v>
      </c>
      <c r="F102" s="446">
        <f t="shared" si="8"/>
        <v>0</v>
      </c>
      <c r="G102" s="119" t="s">
        <v>77</v>
      </c>
      <c r="H102" s="151"/>
      <c r="I102" s="152"/>
      <c r="J102" s="153"/>
      <c r="K102" s="154"/>
      <c r="L102" s="155"/>
    </row>
    <row r="103" spans="1:12" ht="15" customHeight="1">
      <c r="A103" s="119" t="s">
        <v>71</v>
      </c>
      <c r="B103" s="114"/>
      <c r="C103" s="156"/>
      <c r="D103" s="448"/>
      <c r="E103" s="449">
        <f>+H16</f>
        <v>6653000</v>
      </c>
      <c r="F103" s="446">
        <f t="shared" si="8"/>
        <v>0</v>
      </c>
      <c r="G103" s="119" t="s">
        <v>78</v>
      </c>
      <c r="H103" s="151"/>
      <c r="I103" s="152"/>
      <c r="J103" s="153"/>
      <c r="K103" s="154"/>
      <c r="L103" s="155"/>
    </row>
    <row r="104" spans="1:12" ht="25.5">
      <c r="A104" s="256" t="s">
        <v>72</v>
      </c>
      <c r="B104" s="157"/>
      <c r="C104" s="158"/>
      <c r="D104" s="448"/>
      <c r="E104" s="449"/>
      <c r="F104" s="446">
        <f t="shared" si="8"/>
        <v>0</v>
      </c>
      <c r="G104" s="119" t="s">
        <v>79</v>
      </c>
      <c r="H104" s="151"/>
      <c r="I104" s="152"/>
      <c r="J104" s="153"/>
      <c r="K104" s="154"/>
      <c r="L104" s="155"/>
    </row>
    <row r="105" spans="1:12" ht="13.5" thickBot="1">
      <c r="A105" s="159"/>
      <c r="B105" s="160"/>
      <c r="C105" s="161"/>
      <c r="D105" s="148"/>
      <c r="E105" s="149"/>
      <c r="F105" s="150"/>
      <c r="G105" s="119" t="s">
        <v>73</v>
      </c>
      <c r="H105" s="151"/>
      <c r="I105" s="152"/>
      <c r="J105" s="153"/>
      <c r="K105" s="154"/>
      <c r="L105" s="155"/>
    </row>
    <row r="106" spans="1:12" ht="15.75" customHeight="1" thickBot="1">
      <c r="A106" s="490" t="s">
        <v>276</v>
      </c>
      <c r="B106" s="491"/>
      <c r="C106" s="516"/>
      <c r="D106" s="162"/>
      <c r="E106" s="163"/>
      <c r="F106" s="164">
        <f>SUM(F86:F105)</f>
        <v>57767000</v>
      </c>
      <c r="G106" s="490" t="s">
        <v>129</v>
      </c>
      <c r="H106" s="491"/>
      <c r="I106" s="491"/>
      <c r="J106" s="505"/>
      <c r="K106" s="163"/>
      <c r="L106" s="257">
        <f>SUM(L87:L105)</f>
        <v>0</v>
      </c>
    </row>
    <row r="107" spans="1:12" ht="13.5" thickBot="1">
      <c r="A107" s="125"/>
      <c r="B107" s="125"/>
      <c r="C107" s="125"/>
      <c r="D107" s="125"/>
      <c r="E107" s="125"/>
      <c r="F107" s="165"/>
      <c r="G107" s="165"/>
      <c r="H107" s="165"/>
      <c r="I107" s="165"/>
      <c r="J107" s="165"/>
      <c r="K107" s="165"/>
      <c r="L107" s="165"/>
    </row>
    <row r="108" spans="1:12" ht="15.75" thickBot="1">
      <c r="A108" s="490" t="s">
        <v>277</v>
      </c>
      <c r="B108" s="491"/>
      <c r="C108" s="491"/>
      <c r="D108" s="163"/>
      <c r="E108" s="163"/>
      <c r="F108" s="163"/>
      <c r="G108" s="163"/>
      <c r="H108" s="163"/>
      <c r="I108" s="163"/>
      <c r="J108" s="163"/>
      <c r="K108" s="163"/>
      <c r="L108" s="257">
        <f>+L29+L49-L81+F106+L106</f>
        <v>861124500</v>
      </c>
    </row>
    <row r="109" spans="1:12" ht="13.5" thickBot="1">
      <c r="A109" s="126"/>
      <c r="B109" s="126"/>
      <c r="C109" s="126"/>
      <c r="D109" s="126"/>
      <c r="E109" s="126"/>
      <c r="F109" s="108"/>
      <c r="G109" s="108"/>
      <c r="H109" s="108"/>
      <c r="I109" s="108"/>
      <c r="J109" s="108"/>
      <c r="K109" s="108"/>
      <c r="L109" s="108"/>
    </row>
    <row r="110" spans="1:12">
      <c r="A110" s="166"/>
      <c r="B110" s="167"/>
      <c r="C110" s="167"/>
      <c r="D110" s="167"/>
      <c r="E110" s="168"/>
      <c r="F110" s="167"/>
      <c r="G110" s="169"/>
      <c r="H110" s="170"/>
      <c r="I110" s="167"/>
      <c r="J110" s="169"/>
      <c r="K110" s="167"/>
      <c r="L110" s="170"/>
    </row>
    <row r="111" spans="1:12">
      <c r="A111" s="171" t="s">
        <v>10</v>
      </c>
      <c r="B111" s="172"/>
      <c r="C111" s="172"/>
      <c r="D111" s="172"/>
      <c r="E111" s="173" t="s">
        <v>130</v>
      </c>
      <c r="F111" s="174"/>
      <c r="G111" s="175"/>
      <c r="H111" s="176"/>
      <c r="I111" s="175" t="s">
        <v>131</v>
      </c>
      <c r="J111" s="175"/>
      <c r="K111" s="177"/>
      <c r="L111" s="178"/>
    </row>
    <row r="112" spans="1:12" ht="15">
      <c r="A112" s="171" t="str">
        <f>TOTAL!B40</f>
        <v xml:space="preserve">NOMBRE: </v>
      </c>
      <c r="B112" s="172"/>
      <c r="C112" s="172"/>
      <c r="D112" s="172"/>
      <c r="E112" s="171" t="str">
        <f>TOTAL!C40</f>
        <v xml:space="preserve">NOMBRE: </v>
      </c>
      <c r="F112" s="172"/>
      <c r="G112" s="121"/>
      <c r="H112" s="178"/>
      <c r="I112" s="299" t="str">
        <f>+TOTAL!E40</f>
        <v xml:space="preserve">NOMBRE: </v>
      </c>
      <c r="J112" s="299" t="str">
        <f>+TOTAL!F40</f>
        <v>Jaime Alonso Velez Mazo</v>
      </c>
      <c r="K112" s="177"/>
      <c r="L112" s="178"/>
    </row>
    <row r="113" spans="1:12" ht="15">
      <c r="A113" s="171" t="str">
        <f>TOTAL!B41</f>
        <v xml:space="preserve">CARGO: </v>
      </c>
      <c r="B113" s="172"/>
      <c r="C113" s="172"/>
      <c r="D113" s="172"/>
      <c r="E113" s="171" t="str">
        <f>TOTAL!C41</f>
        <v xml:space="preserve">CARGO: </v>
      </c>
      <c r="F113" s="172"/>
      <c r="G113" s="121"/>
      <c r="H113" s="178"/>
      <c r="I113" s="299" t="str">
        <f>+TOTAL!E41</f>
        <v>CARGO:</v>
      </c>
      <c r="J113" s="299" t="str">
        <f>+TOTAL!F41</f>
        <v>Asistente de Presidencia para Presupuesto</v>
      </c>
      <c r="K113" s="177"/>
      <c r="L113" s="178"/>
    </row>
    <row r="114" spans="1:12" ht="15">
      <c r="A114" s="171" t="str">
        <f>TOTAL!B42</f>
        <v xml:space="preserve">FECHA: </v>
      </c>
      <c r="B114" s="172"/>
      <c r="C114" s="172"/>
      <c r="D114" s="172"/>
      <c r="E114" s="171" t="str">
        <f>TOTAL!C42</f>
        <v xml:space="preserve">FECHA: </v>
      </c>
      <c r="F114" s="172"/>
      <c r="G114" s="121"/>
      <c r="H114" s="178"/>
      <c r="I114" s="299" t="str">
        <f>+TOTAL!E42</f>
        <v xml:space="preserve">FECHA: </v>
      </c>
      <c r="J114" s="299">
        <f>+TOTAL!F42</f>
        <v>0</v>
      </c>
      <c r="K114" s="177"/>
      <c r="L114" s="178"/>
    </row>
    <row r="115" spans="1:12" ht="13.5" thickBot="1">
      <c r="A115" s="179"/>
      <c r="B115" s="180"/>
      <c r="C115" s="180"/>
      <c r="D115" s="180"/>
      <c r="E115" s="181"/>
      <c r="F115" s="180"/>
      <c r="G115" s="182"/>
      <c r="H115" s="183"/>
      <c r="I115" s="180"/>
      <c r="J115" s="182"/>
      <c r="K115" s="184"/>
      <c r="L115" s="183"/>
    </row>
    <row r="116" spans="1:12" s="185" customFormat="1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</row>
    <row r="117" spans="1:12" s="185" customFormat="1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</row>
    <row r="118" spans="1:12" s="185" customFormat="1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</row>
    <row r="119" spans="1:12" s="185" customFormat="1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</row>
    <row r="120" spans="1:12" s="185" customFormat="1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81:B81"/>
    <mergeCell ref="G84:L84"/>
    <mergeCell ref="A84:F84"/>
    <mergeCell ref="A106:C106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5:C86"/>
    <mergeCell ref="A108:C108"/>
    <mergeCell ref="K6:L6"/>
    <mergeCell ref="A52:L52"/>
    <mergeCell ref="A67:B67"/>
    <mergeCell ref="A79:B79"/>
    <mergeCell ref="A80:B80"/>
    <mergeCell ref="A14:A15"/>
    <mergeCell ref="E14:G14"/>
    <mergeCell ref="G88:I88"/>
    <mergeCell ref="G106:J106"/>
    <mergeCell ref="G85:I86"/>
    <mergeCell ref="D85:F85"/>
    <mergeCell ref="F53:H53"/>
    <mergeCell ref="I53:K53"/>
    <mergeCell ref="J85:L85"/>
    <mergeCell ref="G87:I87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12"/>
  <sheetViews>
    <sheetView topLeftCell="D52" zoomScale="50" zoomScaleNormal="50" workbookViewId="0">
      <selection activeCell="L63" sqref="L63"/>
    </sheetView>
  </sheetViews>
  <sheetFormatPr baseColWidth="10" defaultRowHeight="15"/>
  <cols>
    <col min="1" max="1" width="2.42578125" style="61" customWidth="1"/>
    <col min="2" max="2" width="11.140625" style="59" customWidth="1"/>
    <col min="3" max="3" width="58.7109375" style="62" customWidth="1"/>
    <col min="4" max="4" width="26" style="62" customWidth="1"/>
    <col min="5" max="5" width="22.7109375" style="62" customWidth="1"/>
    <col min="6" max="6" width="48.140625" style="62" customWidth="1"/>
    <col min="7" max="7" width="57.140625" style="62" customWidth="1"/>
    <col min="8" max="8" width="12.5703125" style="63" customWidth="1"/>
    <col min="9" max="9" width="16.28515625" style="373" customWidth="1"/>
    <col min="10" max="10" width="12.85546875" style="64" customWidth="1"/>
    <col min="11" max="11" width="30.7109375" style="373" customWidth="1"/>
    <col min="12" max="12" width="12.85546875" style="317" customWidth="1"/>
    <col min="13" max="13" width="17" style="358" customWidth="1"/>
    <col min="14" max="14" width="27.28515625" style="346" customWidth="1"/>
    <col min="15" max="26" width="4" style="59" customWidth="1"/>
    <col min="27" max="27" width="11.7109375" style="53" bestFit="1" customWidth="1"/>
    <col min="28" max="16384" width="11.42578125" style="52"/>
  </cols>
  <sheetData>
    <row r="1" spans="1:27" ht="20.25" customHeight="1">
      <c r="A1" s="527"/>
      <c r="B1" s="572"/>
      <c r="C1" s="572"/>
      <c r="D1" s="572"/>
      <c r="E1" s="572"/>
      <c r="F1" s="572"/>
      <c r="G1" s="572"/>
      <c r="H1" s="572"/>
      <c r="I1" s="572"/>
      <c r="J1" s="572"/>
      <c r="K1" s="572"/>
      <c r="L1" s="572"/>
      <c r="M1" s="572"/>
      <c r="N1" s="572"/>
      <c r="O1" s="572"/>
      <c r="P1" s="572"/>
      <c r="Q1" s="572"/>
      <c r="R1" s="572"/>
      <c r="S1" s="572"/>
      <c r="T1" s="572"/>
      <c r="U1" s="572"/>
      <c r="V1" s="572"/>
      <c r="W1" s="572"/>
      <c r="X1" s="572"/>
      <c r="Y1" s="572"/>
      <c r="Z1" s="573"/>
      <c r="AA1" s="52"/>
    </row>
    <row r="2" spans="1:27" ht="39" customHeight="1">
      <c r="A2" s="2"/>
      <c r="B2" s="574" t="s">
        <v>4</v>
      </c>
      <c r="C2" s="575"/>
      <c r="D2" s="575"/>
      <c r="E2" s="575"/>
      <c r="F2" s="575"/>
      <c r="G2" s="575"/>
      <c r="H2" s="575"/>
      <c r="I2" s="575"/>
      <c r="J2" s="575"/>
      <c r="K2" s="575"/>
      <c r="L2" s="575"/>
      <c r="M2" s="575"/>
      <c r="N2" s="575"/>
      <c r="O2" s="575"/>
      <c r="P2" s="575"/>
      <c r="Q2" s="575"/>
      <c r="R2" s="575"/>
      <c r="S2" s="575"/>
      <c r="T2" s="575"/>
      <c r="U2" s="575"/>
      <c r="V2" s="575"/>
      <c r="W2" s="575"/>
      <c r="X2" s="575"/>
      <c r="Y2" s="575"/>
      <c r="Z2" s="576"/>
      <c r="AA2" s="52"/>
    </row>
    <row r="3" spans="1:27" ht="27.75" customHeight="1">
      <c r="A3" s="2"/>
      <c r="B3" s="574" t="s">
        <v>112</v>
      </c>
      <c r="C3" s="575"/>
      <c r="D3" s="575"/>
      <c r="E3" s="575"/>
      <c r="F3" s="575"/>
      <c r="G3" s="575"/>
      <c r="H3" s="575"/>
      <c r="I3" s="575"/>
      <c r="J3" s="575"/>
      <c r="K3" s="575"/>
      <c r="L3" s="575"/>
      <c r="M3" s="575"/>
      <c r="N3" s="575"/>
      <c r="O3" s="575"/>
      <c r="P3" s="575"/>
      <c r="Q3" s="575"/>
      <c r="R3" s="575"/>
      <c r="S3" s="575"/>
      <c r="T3" s="575"/>
      <c r="U3" s="575"/>
      <c r="V3" s="575"/>
      <c r="W3" s="575"/>
      <c r="X3" s="575"/>
      <c r="Y3" s="575"/>
      <c r="Z3" s="576"/>
      <c r="AA3" s="52"/>
    </row>
    <row r="4" spans="1:27" ht="10.5" customHeight="1">
      <c r="A4" s="525"/>
      <c r="B4" s="526"/>
      <c r="C4" s="526"/>
      <c r="D4" s="526"/>
      <c r="E4" s="526"/>
      <c r="F4" s="526"/>
      <c r="G4" s="526"/>
      <c r="H4" s="526"/>
      <c r="I4" s="526"/>
      <c r="J4" s="526"/>
      <c r="K4" s="526"/>
      <c r="L4" s="526"/>
      <c r="M4" s="526"/>
      <c r="N4" s="577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52"/>
    </row>
    <row r="5" spans="1:27" ht="10.5" customHeight="1" thickBot="1">
      <c r="A5" s="527"/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78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2"/>
    </row>
    <row r="6" spans="1:27" ht="23.25" customHeight="1" thickBot="1">
      <c r="A6" s="6"/>
      <c r="B6" s="553" t="s">
        <v>286</v>
      </c>
      <c r="C6" s="554"/>
      <c r="D6" s="554"/>
      <c r="E6" s="554"/>
      <c r="F6" s="554"/>
      <c r="G6" s="554"/>
      <c r="H6" s="554"/>
      <c r="I6" s="554"/>
      <c r="J6" s="554"/>
      <c r="K6" s="555"/>
      <c r="L6" s="469" t="s">
        <v>113</v>
      </c>
      <c r="M6" s="471">
        <v>2019</v>
      </c>
      <c r="N6" s="492" t="s">
        <v>285</v>
      </c>
      <c r="O6" s="569"/>
      <c r="P6" s="569"/>
      <c r="Q6" s="569"/>
      <c r="R6" s="569"/>
      <c r="S6" s="569"/>
      <c r="T6" s="569"/>
      <c r="U6" s="569"/>
      <c r="V6" s="569"/>
      <c r="W6" s="569"/>
      <c r="X6" s="569"/>
      <c r="Y6" s="569"/>
      <c r="Z6" s="570"/>
    </row>
    <row r="7" spans="1:27" s="55" customFormat="1" ht="6" customHeight="1" thickBot="1">
      <c r="A7" s="552"/>
      <c r="B7" s="552"/>
      <c r="C7" s="552"/>
      <c r="D7" s="552"/>
      <c r="E7" s="552"/>
      <c r="F7" s="552"/>
      <c r="G7" s="552"/>
      <c r="H7" s="552"/>
      <c r="I7" s="552"/>
      <c r="J7" s="552"/>
      <c r="K7" s="552"/>
      <c r="L7" s="552"/>
      <c r="M7" s="552"/>
      <c r="N7" s="552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54"/>
    </row>
    <row r="8" spans="1:27" s="60" customFormat="1" ht="25.5" customHeight="1" thickBot="1">
      <c r="A8" s="258"/>
      <c r="B8" s="300" t="s">
        <v>0</v>
      </c>
      <c r="C8" s="567" t="str">
        <f>+TOTAL!C9</f>
        <v>FACULTAD DE INGENIERIA</v>
      </c>
      <c r="D8" s="567"/>
      <c r="E8" s="567"/>
      <c r="F8" s="567"/>
      <c r="G8" s="567"/>
      <c r="H8" s="301"/>
      <c r="I8" s="370"/>
      <c r="J8" s="301"/>
      <c r="K8" s="370"/>
      <c r="L8" s="311"/>
      <c r="M8" s="347"/>
      <c r="N8" s="335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2"/>
      <c r="AA8" s="259"/>
    </row>
    <row r="9" spans="1:27" s="262" customFormat="1" ht="25.5" customHeight="1" thickBot="1">
      <c r="A9" s="260"/>
      <c r="B9" s="361" t="s">
        <v>6</v>
      </c>
      <c r="C9" s="571" t="str">
        <f>+INGRESOS!A10</f>
        <v>Esp. en Alta Gerencia</v>
      </c>
      <c r="D9" s="571"/>
      <c r="E9" s="571"/>
      <c r="F9" s="571"/>
      <c r="G9" s="571"/>
      <c r="H9" s="274" t="s">
        <v>5</v>
      </c>
      <c r="I9" s="567" t="str">
        <f>+INGRESOS!J10</f>
        <v>05020102</v>
      </c>
      <c r="J9" s="567"/>
      <c r="K9" s="567"/>
      <c r="L9" s="567"/>
      <c r="M9" s="567"/>
      <c r="N9" s="567"/>
      <c r="O9" s="567"/>
      <c r="P9" s="567"/>
      <c r="Q9" s="567"/>
      <c r="R9" s="567"/>
      <c r="S9" s="567"/>
      <c r="T9" s="567"/>
      <c r="U9" s="567"/>
      <c r="V9" s="567"/>
      <c r="W9" s="567"/>
      <c r="X9" s="567"/>
      <c r="Y9" s="567"/>
      <c r="Z9" s="568"/>
      <c r="AA9" s="261"/>
    </row>
    <row r="10" spans="1:27" s="55" customFormat="1" ht="15.75" thickBot="1">
      <c r="A10" s="552"/>
      <c r="B10" s="552"/>
      <c r="C10" s="552"/>
      <c r="D10" s="552"/>
      <c r="E10" s="552"/>
      <c r="F10" s="552"/>
      <c r="G10" s="552"/>
      <c r="H10" s="552"/>
      <c r="I10" s="552"/>
      <c r="J10" s="552"/>
      <c r="K10" s="552"/>
      <c r="L10" s="552"/>
      <c r="M10" s="552"/>
      <c r="N10" s="552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54"/>
    </row>
    <row r="11" spans="1:27" ht="32.25" customHeight="1" thickBot="1">
      <c r="A11" s="6"/>
      <c r="B11" s="559" t="s">
        <v>3</v>
      </c>
      <c r="C11" s="560"/>
      <c r="D11" s="563" t="s">
        <v>259</v>
      </c>
      <c r="E11" s="560" t="s">
        <v>260</v>
      </c>
      <c r="F11" s="563" t="s">
        <v>249</v>
      </c>
      <c r="G11" s="563" t="s">
        <v>250</v>
      </c>
      <c r="H11" s="553" t="s">
        <v>255</v>
      </c>
      <c r="I11" s="554"/>
      <c r="J11" s="554"/>
      <c r="K11" s="554"/>
      <c r="L11" s="554"/>
      <c r="M11" s="554"/>
      <c r="N11" s="555"/>
      <c r="O11" s="553" t="s">
        <v>256</v>
      </c>
      <c r="P11" s="554"/>
      <c r="Q11" s="554"/>
      <c r="R11" s="554"/>
      <c r="S11" s="554"/>
      <c r="T11" s="554"/>
      <c r="U11" s="554"/>
      <c r="V11" s="554"/>
      <c r="W11" s="554"/>
      <c r="X11" s="554"/>
      <c r="Y11" s="554"/>
      <c r="Z11" s="555"/>
    </row>
    <row r="12" spans="1:27" ht="54" customHeight="1" thickBot="1">
      <c r="A12" s="6"/>
      <c r="B12" s="561"/>
      <c r="C12" s="562"/>
      <c r="D12" s="564"/>
      <c r="E12" s="566"/>
      <c r="F12" s="564"/>
      <c r="G12" s="565"/>
      <c r="H12" s="553" t="s">
        <v>257</v>
      </c>
      <c r="I12" s="555"/>
      <c r="J12" s="553" t="s">
        <v>269</v>
      </c>
      <c r="K12" s="555"/>
      <c r="L12" s="579" t="s">
        <v>258</v>
      </c>
      <c r="M12" s="580"/>
      <c r="N12" s="581" t="s">
        <v>268</v>
      </c>
      <c r="O12" s="563" t="s">
        <v>224</v>
      </c>
      <c r="P12" s="563" t="s">
        <v>225</v>
      </c>
      <c r="Q12" s="563" t="s">
        <v>226</v>
      </c>
      <c r="R12" s="563" t="s">
        <v>227</v>
      </c>
      <c r="S12" s="563" t="s">
        <v>226</v>
      </c>
      <c r="T12" s="563" t="s">
        <v>228</v>
      </c>
      <c r="U12" s="563" t="s">
        <v>228</v>
      </c>
      <c r="V12" s="563" t="s">
        <v>227</v>
      </c>
      <c r="W12" s="563" t="s">
        <v>229</v>
      </c>
      <c r="X12" s="563" t="s">
        <v>230</v>
      </c>
      <c r="Y12" s="563" t="s">
        <v>223</v>
      </c>
      <c r="Z12" s="563" t="s">
        <v>231</v>
      </c>
    </row>
    <row r="13" spans="1:27" ht="36.75" thickBot="1">
      <c r="A13" s="6"/>
      <c r="B13" s="56" t="s">
        <v>7</v>
      </c>
      <c r="C13" s="51" t="s">
        <v>6</v>
      </c>
      <c r="D13" s="565"/>
      <c r="E13" s="562"/>
      <c r="F13" s="553" t="s">
        <v>248</v>
      </c>
      <c r="G13" s="555"/>
      <c r="H13" s="51" t="s">
        <v>7</v>
      </c>
      <c r="I13" s="51" t="s">
        <v>6</v>
      </c>
      <c r="J13" s="51" t="s">
        <v>7</v>
      </c>
      <c r="K13" s="51" t="s">
        <v>6</v>
      </c>
      <c r="L13" s="318" t="s">
        <v>7</v>
      </c>
      <c r="M13" s="56" t="s">
        <v>6</v>
      </c>
      <c r="N13" s="582"/>
      <c r="O13" s="565"/>
      <c r="P13" s="565"/>
      <c r="Q13" s="565"/>
      <c r="R13" s="565"/>
      <c r="S13" s="565"/>
      <c r="T13" s="565"/>
      <c r="U13" s="565"/>
      <c r="V13" s="565"/>
      <c r="W13" s="565"/>
      <c r="X13" s="565"/>
      <c r="Y13" s="565"/>
      <c r="Z13" s="565"/>
    </row>
    <row r="14" spans="1:27" s="57" customFormat="1" ht="38.25">
      <c r="A14" s="8"/>
      <c r="B14" s="19" t="str">
        <f>+IFERROR(VLOOKUP(C14,Listas!$L$8:$M$100,2,FALSE),"")</f>
        <v>10030102</v>
      </c>
      <c r="C14" s="331" t="s">
        <v>479</v>
      </c>
      <c r="D14" s="266"/>
      <c r="E14" s="267"/>
      <c r="F14" s="556" t="s">
        <v>1002</v>
      </c>
      <c r="G14" s="368" t="s">
        <v>1003</v>
      </c>
      <c r="H14" s="18" t="str">
        <f>+IF(I14=""," ",VLOOKUP(I14,Listas!$I$8:$J$10,2,FALSE))</f>
        <v xml:space="preserve"> </v>
      </c>
      <c r="I14" s="331"/>
      <c r="J14" s="363" t="str">
        <f>+IF(K14=""," ",VLOOKUP(K14,PUC!$B:$C,2,FALSE))</f>
        <v xml:space="preserve"> </v>
      </c>
      <c r="K14" s="331"/>
      <c r="L14" s="19" t="str">
        <f>+IF(M14=""," ",VLOOKUP(M14,Listas!$F$9:$G$17,2,FALSE))</f>
        <v xml:space="preserve"> </v>
      </c>
      <c r="M14" s="349"/>
      <c r="N14" s="338"/>
      <c r="O14" s="12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4"/>
    </row>
    <row r="15" spans="1:27" s="57" customFormat="1" ht="18">
      <c r="A15" s="8"/>
      <c r="B15" s="11" t="str">
        <f>+IFERROR(VLOOKUP(C15,Listas!$L$8:$M$100,2,FALSE),"")</f>
        <v>10030102</v>
      </c>
      <c r="C15" s="326" t="s">
        <v>479</v>
      </c>
      <c r="D15" s="264"/>
      <c r="E15" s="265"/>
      <c r="F15" s="557"/>
      <c r="G15" s="367" t="s">
        <v>1004</v>
      </c>
      <c r="H15" s="9" t="str">
        <f>+IF(I15=""," ",VLOOKUP(I15,Listas!$I$8:$J$10,2,FALSE))</f>
        <v xml:space="preserve"> </v>
      </c>
      <c r="I15" s="326"/>
      <c r="J15" s="360" t="str">
        <f>+IF(K15=""," ",VLOOKUP(K15,PUC!$B:$C,2,FALSE))</f>
        <v xml:space="preserve"> </v>
      </c>
      <c r="K15" s="326"/>
      <c r="L15" s="11" t="str">
        <f>+IF(M15=""," ",VLOOKUP(M15,Listas!$F$9:$G$17,2,FALSE))</f>
        <v xml:space="preserve"> </v>
      </c>
      <c r="M15" s="348"/>
      <c r="N15" s="337"/>
      <c r="O15" s="15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7"/>
    </row>
    <row r="16" spans="1:27" s="57" customFormat="1" ht="29.25" customHeight="1">
      <c r="A16" s="8"/>
      <c r="B16" s="11" t="str">
        <f>+IFERROR(VLOOKUP(C16,Listas!$L$8:$M$100,2,FALSE),"")</f>
        <v>10030102</v>
      </c>
      <c r="C16" s="326" t="s">
        <v>479</v>
      </c>
      <c r="D16" s="264"/>
      <c r="E16" s="265"/>
      <c r="F16" s="558" t="s">
        <v>1005</v>
      </c>
      <c r="G16" s="367" t="s">
        <v>1006</v>
      </c>
      <c r="H16" s="9" t="str">
        <f>+IF(I16=""," ",VLOOKUP(I16,Listas!$I$8:$J$10,2,FALSE))</f>
        <v xml:space="preserve"> </v>
      </c>
      <c r="I16" s="326"/>
      <c r="J16" s="360" t="str">
        <f>+IF(K16=""," ",VLOOKUP(K16,PUC!$B:$C,2,FALSE))</f>
        <v xml:space="preserve"> </v>
      </c>
      <c r="K16" s="326"/>
      <c r="L16" s="11" t="str">
        <f>+IF(M16=""," ",VLOOKUP(M16,Listas!$F$9:$G$17,2,FALSE))</f>
        <v xml:space="preserve"> </v>
      </c>
      <c r="M16" s="348"/>
      <c r="N16" s="337"/>
      <c r="O16" s="15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1:27" s="57" customFormat="1" ht="29.25" customHeight="1">
      <c r="A17" s="8"/>
      <c r="B17" s="11" t="str">
        <f>+IFERROR(VLOOKUP(C17,Listas!$L$8:$M$100,2,FALSE),"")</f>
        <v>10030102</v>
      </c>
      <c r="C17" s="326" t="s">
        <v>479</v>
      </c>
      <c r="D17" s="264"/>
      <c r="E17" s="265"/>
      <c r="F17" s="557"/>
      <c r="G17" s="367" t="s">
        <v>1007</v>
      </c>
      <c r="H17" s="9" t="str">
        <f>+IF(I17=""," ",VLOOKUP(I17,Listas!$I$8:$J$10,2,FALSE))</f>
        <v xml:space="preserve"> </v>
      </c>
      <c r="I17" s="326"/>
      <c r="J17" s="360" t="str">
        <f>+IF(K17=""," ",VLOOKUP(K17,PUC!$B:$C,2,FALSE))</f>
        <v xml:space="preserve"> </v>
      </c>
      <c r="K17" s="326"/>
      <c r="L17" s="11" t="str">
        <f>+IF(M17=""," ",VLOOKUP(M17,Listas!$F$9:$G$17,2,FALSE))</f>
        <v xml:space="preserve"> </v>
      </c>
      <c r="M17" s="348"/>
      <c r="N17" s="337"/>
      <c r="O17" s="15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7"/>
    </row>
    <row r="18" spans="1:27" s="57" customFormat="1" ht="29.25" customHeight="1">
      <c r="A18" s="8"/>
      <c r="B18" s="11" t="str">
        <f>+IFERROR(VLOOKUP(C18,Listas!$L$8:$M$100,2,FALSE),"")</f>
        <v>10030102</v>
      </c>
      <c r="C18" s="326" t="s">
        <v>479</v>
      </c>
      <c r="D18" s="264"/>
      <c r="E18" s="265"/>
      <c r="F18" s="264"/>
      <c r="G18" s="367" t="s">
        <v>1008</v>
      </c>
      <c r="H18" s="9" t="str">
        <f>+IF(I18=""," ",VLOOKUP(I18,Listas!$I$8:$J$10,2,FALSE))</f>
        <v xml:space="preserve"> </v>
      </c>
      <c r="I18" s="326"/>
      <c r="J18" s="360" t="str">
        <f>+IF(K18=""," ",VLOOKUP(K18,PUC!$B:$C,2,FALSE))</f>
        <v xml:space="preserve"> </v>
      </c>
      <c r="K18" s="326"/>
      <c r="L18" s="11" t="str">
        <f>+IF(M18=""," ",VLOOKUP(M18,Listas!$F$9:$G$17,2,FALSE))</f>
        <v xml:space="preserve"> </v>
      </c>
      <c r="M18" s="348"/>
      <c r="N18" s="337"/>
      <c r="O18" s="15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7"/>
    </row>
    <row r="19" spans="1:27" s="57" customFormat="1" ht="29.25" customHeight="1">
      <c r="A19" s="8"/>
      <c r="B19" s="11" t="str">
        <f>+IFERROR(VLOOKUP(C19,Listas!$L$8:$M$100,2,FALSE),"")</f>
        <v>10030102</v>
      </c>
      <c r="C19" s="326" t="s">
        <v>479</v>
      </c>
      <c r="D19" s="264"/>
      <c r="E19" s="265"/>
      <c r="F19" s="264"/>
      <c r="G19" s="367" t="s">
        <v>1009</v>
      </c>
      <c r="H19" s="9" t="str">
        <f>+IF(I19=""," ",VLOOKUP(I19,Listas!$I$8:$J$10,2,FALSE))</f>
        <v xml:space="preserve"> </v>
      </c>
      <c r="I19" s="326"/>
      <c r="J19" s="360" t="str">
        <f>+IF(K19=""," ",VLOOKUP(K19,PUC!$B:$C,2,FALSE))</f>
        <v xml:space="preserve"> </v>
      </c>
      <c r="K19" s="326"/>
      <c r="L19" s="11" t="str">
        <f>+IF(M19=""," ",VLOOKUP(M19,Listas!$F$9:$G$17,2,FALSE))</f>
        <v xml:space="preserve"> </v>
      </c>
      <c r="M19" s="348"/>
      <c r="N19" s="337"/>
      <c r="O19" s="15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7"/>
    </row>
    <row r="20" spans="1:27" s="57" customFormat="1" ht="29.25" customHeight="1">
      <c r="A20" s="8"/>
      <c r="B20" s="11" t="str">
        <f>+IFERROR(VLOOKUP(C20,Listas!$L$8:$M$100,2,FALSE),"")</f>
        <v>10030102</v>
      </c>
      <c r="C20" s="326" t="s">
        <v>479</v>
      </c>
      <c r="D20" s="264"/>
      <c r="E20" s="265"/>
      <c r="F20" s="264"/>
      <c r="G20" s="367" t="s">
        <v>1010</v>
      </c>
      <c r="H20" s="30" t="str">
        <f>+IF(I20=""," ",VLOOKUP(I20,Listas!$I$21:$J$23,2,FALSE))</f>
        <v>08</v>
      </c>
      <c r="I20" s="334" t="s">
        <v>772</v>
      </c>
      <c r="J20" s="360">
        <f>+IF(K20=""," ",VLOOKUP(K20,PUC!$B:$C,2,FALSE))</f>
        <v>6209020808</v>
      </c>
      <c r="K20" s="326" t="s">
        <v>1365</v>
      </c>
      <c r="L20" s="11" t="str">
        <f>+IF(M20=""," ",VLOOKUP(M20,Listas!$F$9:$G$17,2,FALSE))</f>
        <v>02</v>
      </c>
      <c r="M20" s="348" t="s">
        <v>447</v>
      </c>
      <c r="N20" s="337">
        <f>+Resumen!M40</f>
        <v>603000</v>
      </c>
      <c r="O20" s="15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7"/>
    </row>
    <row r="21" spans="1:27" s="57" customFormat="1" ht="29.25" customHeight="1">
      <c r="A21" s="8"/>
      <c r="B21" s="11" t="str">
        <f>+IFERROR(VLOOKUP(C21,Listas!$L$8:$M$100,2,FALSE),"")</f>
        <v>10030102</v>
      </c>
      <c r="C21" s="326" t="s">
        <v>479</v>
      </c>
      <c r="D21" s="264"/>
      <c r="E21" s="265"/>
      <c r="F21" s="264"/>
      <c r="G21" s="367" t="s">
        <v>1011</v>
      </c>
      <c r="H21" s="9" t="str">
        <f>+IF(I21=""," ",VLOOKUP(I21,Listas!$I$8:$J$10,2,FALSE))</f>
        <v xml:space="preserve"> </v>
      </c>
      <c r="I21" s="326"/>
      <c r="J21" s="360" t="str">
        <f>+IF(K21=""," ",VLOOKUP(K21,PUC!$B:$C,2,FALSE))</f>
        <v xml:space="preserve"> </v>
      </c>
      <c r="K21" s="326"/>
      <c r="L21" s="11" t="str">
        <f>+IF(M21=""," ",VLOOKUP(M21,Listas!$F$9:$G$17,2,FALSE))</f>
        <v xml:space="preserve"> </v>
      </c>
      <c r="M21" s="348"/>
      <c r="N21" s="337"/>
      <c r="O21" s="15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7"/>
    </row>
    <row r="22" spans="1:27" s="57" customFormat="1" ht="29.25" customHeight="1" thickBot="1">
      <c r="A22" s="8"/>
      <c r="B22" s="21" t="str">
        <f>+IFERROR(VLOOKUP(C22,Listas!$L$8:$M$100,2,FALSE),"")</f>
        <v>10030102</v>
      </c>
      <c r="C22" s="332" t="s">
        <v>479</v>
      </c>
      <c r="D22" s="268"/>
      <c r="E22" s="269"/>
      <c r="F22" s="268"/>
      <c r="G22" s="269"/>
      <c r="H22" s="20" t="str">
        <f>+IF(I22=""," ",VLOOKUP(I22,Listas!$I$8:$J$10,2,FALSE))</f>
        <v xml:space="preserve"> </v>
      </c>
      <c r="I22" s="332"/>
      <c r="J22" s="364" t="str">
        <f>+IF(K22=""," ",VLOOKUP(K22,PUC!$B:$C,2,FALSE))</f>
        <v xml:space="preserve"> </v>
      </c>
      <c r="K22" s="332"/>
      <c r="L22" s="21" t="str">
        <f>+IF(M22=""," ",VLOOKUP(M22,Listas!$F$9:$G$17,2,FALSE))</f>
        <v xml:space="preserve"> </v>
      </c>
      <c r="M22" s="350"/>
      <c r="N22" s="339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4"/>
    </row>
    <row r="23" spans="1:27" s="57" customFormat="1" ht="25.5">
      <c r="A23" s="8"/>
      <c r="B23" s="19" t="str">
        <f>+IFERROR(VLOOKUP(C23,Listas!$L$8:$M$100,2,FALSE),"")</f>
        <v>10040101</v>
      </c>
      <c r="C23" s="331" t="s">
        <v>480</v>
      </c>
      <c r="D23" s="266"/>
      <c r="E23" s="267"/>
      <c r="F23" s="556" t="s">
        <v>1012</v>
      </c>
      <c r="G23" s="368" t="s">
        <v>1013</v>
      </c>
      <c r="H23" s="18" t="str">
        <f>+IF(I23=""," ",VLOOKUP(I23,Listas!$I$8:$J$10,2,FALSE))</f>
        <v xml:space="preserve"> </v>
      </c>
      <c r="I23" s="331"/>
      <c r="J23" s="363" t="str">
        <f>+IF(K23=""," ",VLOOKUP(K23,PUC!$B:$C,2,FALSE))</f>
        <v xml:space="preserve"> </v>
      </c>
      <c r="K23" s="331"/>
      <c r="L23" s="19" t="str">
        <f>+IF(M23=""," ",VLOOKUP(M23,Listas!$F$9:$G$17,2,FALSE))</f>
        <v xml:space="preserve"> </v>
      </c>
      <c r="M23" s="349"/>
      <c r="N23" s="338"/>
      <c r="O23" s="12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4"/>
    </row>
    <row r="24" spans="1:27" s="57" customFormat="1" ht="38.25">
      <c r="A24" s="8"/>
      <c r="B24" s="11" t="str">
        <f>+IFERROR(VLOOKUP(C24,Listas!$L$8:$M$100,2,FALSE),"")</f>
        <v>10040101</v>
      </c>
      <c r="C24" s="326" t="s">
        <v>480</v>
      </c>
      <c r="D24" s="264"/>
      <c r="E24" s="265"/>
      <c r="F24" s="557"/>
      <c r="G24" s="367" t="s">
        <v>1014</v>
      </c>
      <c r="H24" s="30" t="str">
        <f>+IF(I24=""," ",VLOOKUP(I24,Listas!$I$21:$J$23,2,FALSE))</f>
        <v>08</v>
      </c>
      <c r="I24" s="334" t="s">
        <v>772</v>
      </c>
      <c r="J24" s="360">
        <f>+IF(K24=""," ",VLOOKUP(K24,PUC!$B:$C,2,FALSE))</f>
        <v>6209021602</v>
      </c>
      <c r="K24" s="326" t="s">
        <v>1312</v>
      </c>
      <c r="L24" s="11" t="str">
        <f>+IF(M24=""," ",VLOOKUP(M24,Listas!$F$9:$G$17,2,FALSE))</f>
        <v>02</v>
      </c>
      <c r="M24" s="348" t="s">
        <v>447</v>
      </c>
      <c r="N24" s="337">
        <f>+MROUND(828118*1.05*12*AA24,1000)</f>
        <v>10434000</v>
      </c>
      <c r="O24" s="15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7"/>
      <c r="AA24" s="430">
        <v>1</v>
      </c>
    </row>
    <row r="25" spans="1:27" s="57" customFormat="1" ht="25.5">
      <c r="A25" s="8"/>
      <c r="B25" s="11" t="str">
        <f>+IFERROR(VLOOKUP(C25,Listas!$L$8:$M$100,2,FALSE),"")</f>
        <v>10040101</v>
      </c>
      <c r="C25" s="326" t="s">
        <v>480</v>
      </c>
      <c r="D25" s="264"/>
      <c r="E25" s="265"/>
      <c r="F25" s="558" t="s">
        <v>1015</v>
      </c>
      <c r="G25" s="367" t="s">
        <v>1016</v>
      </c>
      <c r="H25" s="9" t="str">
        <f>+IF(I25=""," ",VLOOKUP(I25,Listas!$I$8:$J$10,2,FALSE))</f>
        <v xml:space="preserve"> </v>
      </c>
      <c r="I25" s="326"/>
      <c r="J25" s="360" t="str">
        <f>+IF(K25=""," ",VLOOKUP(K25,PUC!$B:$C,2,FALSE))</f>
        <v xml:space="preserve"> </v>
      </c>
      <c r="K25" s="326"/>
      <c r="L25" s="11" t="str">
        <f>+IF(M25=""," ",VLOOKUP(M25,Listas!$F$9:$G$17,2,FALSE))</f>
        <v xml:space="preserve"> </v>
      </c>
      <c r="M25" s="348"/>
      <c r="N25" s="337"/>
      <c r="O25" s="15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7"/>
    </row>
    <row r="26" spans="1:27" s="57" customFormat="1" ht="25.5">
      <c r="A26" s="8"/>
      <c r="B26" s="11" t="str">
        <f>+IFERROR(VLOOKUP(C26,Listas!$L$8:$M$100,2,FALSE),"")</f>
        <v>10040101</v>
      </c>
      <c r="C26" s="326" t="s">
        <v>480</v>
      </c>
      <c r="D26" s="264"/>
      <c r="E26" s="265"/>
      <c r="F26" s="557"/>
      <c r="G26" s="367" t="s">
        <v>1017</v>
      </c>
      <c r="H26" s="9" t="str">
        <f>+IF(I26=""," ",VLOOKUP(I26,Listas!$I$8:$J$10,2,FALSE))</f>
        <v xml:space="preserve"> </v>
      </c>
      <c r="I26" s="326"/>
      <c r="J26" s="360" t="str">
        <f>+IF(K26=""," ",VLOOKUP(K26,PUC!$B:$C,2,FALSE))</f>
        <v xml:space="preserve"> </v>
      </c>
      <c r="K26" s="326"/>
      <c r="L26" s="11" t="str">
        <f>+IF(M26=""," ",VLOOKUP(M26,Listas!$F$9:$G$17,2,FALSE))</f>
        <v xml:space="preserve"> </v>
      </c>
      <c r="M26" s="348"/>
      <c r="N26" s="337"/>
      <c r="O26" s="15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7"/>
    </row>
    <row r="27" spans="1:27" s="57" customFormat="1" ht="25.5">
      <c r="A27" s="8"/>
      <c r="B27" s="11" t="str">
        <f>+IFERROR(VLOOKUP(C27,Listas!$L$8:$M$100,2,FALSE),"")</f>
        <v>10040101</v>
      </c>
      <c r="C27" s="326" t="s">
        <v>480</v>
      </c>
      <c r="D27" s="264"/>
      <c r="E27" s="265"/>
      <c r="F27" s="558" t="s">
        <v>1018</v>
      </c>
      <c r="G27" s="367" t="s">
        <v>1019</v>
      </c>
      <c r="H27" s="9" t="str">
        <f>+IF(I27=""," ",VLOOKUP(I27,Listas!$I$8:$J$10,2,FALSE))</f>
        <v xml:space="preserve"> </v>
      </c>
      <c r="I27" s="326"/>
      <c r="J27" s="360" t="str">
        <f>+IF(K27=""," ",VLOOKUP(K27,PUC!$B:$C,2,FALSE))</f>
        <v xml:space="preserve"> </v>
      </c>
      <c r="K27" s="326"/>
      <c r="L27" s="11" t="str">
        <f>+IF(M27=""," ",VLOOKUP(M27,Listas!$F$9:$G$17,2,FALSE))</f>
        <v xml:space="preserve"> </v>
      </c>
      <c r="M27" s="348"/>
      <c r="N27" s="337"/>
      <c r="O27" s="15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7"/>
    </row>
    <row r="28" spans="1:27" s="57" customFormat="1" ht="25.5">
      <c r="A28" s="8"/>
      <c r="B28" s="11" t="str">
        <f>+IFERROR(VLOOKUP(C28,Listas!$L$8:$M$100,2,FALSE),"")</f>
        <v>10040101</v>
      </c>
      <c r="C28" s="326" t="s">
        <v>480</v>
      </c>
      <c r="D28" s="264"/>
      <c r="E28" s="265"/>
      <c r="F28" s="557"/>
      <c r="G28" s="367" t="s">
        <v>1020</v>
      </c>
      <c r="H28" s="9" t="str">
        <f>+IF(I28=""," ",VLOOKUP(I28,Listas!$I$8:$J$10,2,FALSE))</f>
        <v xml:space="preserve"> </v>
      </c>
      <c r="I28" s="326"/>
      <c r="J28" s="360" t="str">
        <f>+IF(K28=""," ",VLOOKUP(K28,PUC!$B:$C,2,FALSE))</f>
        <v xml:space="preserve"> </v>
      </c>
      <c r="K28" s="326"/>
      <c r="L28" s="11" t="str">
        <f>+IF(M28=""," ",VLOOKUP(M28,Listas!$F$9:$G$17,2,FALSE))</f>
        <v xml:space="preserve"> </v>
      </c>
      <c r="M28" s="348"/>
      <c r="N28" s="337"/>
      <c r="O28" s="15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7"/>
    </row>
    <row r="29" spans="1:27" s="57" customFormat="1" ht="25.5">
      <c r="A29" s="8"/>
      <c r="B29" s="11" t="str">
        <f>+IFERROR(VLOOKUP(C29,Listas!$L$8:$M$100,2,FALSE),"")</f>
        <v>10040101</v>
      </c>
      <c r="C29" s="326" t="s">
        <v>480</v>
      </c>
      <c r="D29" s="264"/>
      <c r="E29" s="265"/>
      <c r="F29" s="558" t="s">
        <v>1021</v>
      </c>
      <c r="G29" s="367" t="s">
        <v>1022</v>
      </c>
      <c r="H29" s="9" t="str">
        <f>+IF(I29=""," ",VLOOKUP(I29,Listas!$I$8:$J$10,2,FALSE))</f>
        <v xml:space="preserve"> </v>
      </c>
      <c r="I29" s="326"/>
      <c r="J29" s="360" t="str">
        <f>+IF(K29=""," ",VLOOKUP(K29,PUC!$B:$C,2,FALSE))</f>
        <v xml:space="preserve"> </v>
      </c>
      <c r="K29" s="326"/>
      <c r="L29" s="11" t="str">
        <f>+IF(M29=""," ",VLOOKUP(M29,Listas!$F$9:$G$17,2,FALSE))</f>
        <v xml:space="preserve"> </v>
      </c>
      <c r="M29" s="348"/>
      <c r="N29" s="337"/>
      <c r="O29" s="15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7"/>
    </row>
    <row r="30" spans="1:27" s="57" customFormat="1" ht="25.5">
      <c r="A30" s="8"/>
      <c r="B30" s="11" t="str">
        <f>+IFERROR(VLOOKUP(C30,Listas!$L$8:$M$100,2,FALSE),"")</f>
        <v>10040101</v>
      </c>
      <c r="C30" s="326" t="s">
        <v>480</v>
      </c>
      <c r="D30" s="264"/>
      <c r="E30" s="265"/>
      <c r="F30" s="557"/>
      <c r="G30" s="367" t="s">
        <v>1023</v>
      </c>
      <c r="H30" s="9" t="str">
        <f>+IF(I30=""," ",VLOOKUP(I30,Listas!$I$8:$J$10,2,FALSE))</f>
        <v xml:space="preserve"> </v>
      </c>
      <c r="I30" s="326"/>
      <c r="J30" s="360" t="str">
        <f>+IF(K30=""," ",VLOOKUP(K30,PUC!$B:$C,2,FALSE))</f>
        <v xml:space="preserve"> </v>
      </c>
      <c r="K30" s="326"/>
      <c r="L30" s="11" t="str">
        <f>+IF(M30=""," ",VLOOKUP(M30,Listas!$F$9:$G$17,2,FALSE))</f>
        <v xml:space="preserve"> </v>
      </c>
      <c r="M30" s="348"/>
      <c r="N30" s="337"/>
      <c r="O30" s="15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7"/>
    </row>
    <row r="31" spans="1:27" s="57" customFormat="1" ht="25.5">
      <c r="A31" s="8"/>
      <c r="B31" s="11" t="str">
        <f>+IFERROR(VLOOKUP(C31,Listas!$L$8:$M$100,2,FALSE),"")</f>
        <v>10040101</v>
      </c>
      <c r="C31" s="326" t="s">
        <v>480</v>
      </c>
      <c r="D31" s="264"/>
      <c r="E31" s="265"/>
      <c r="F31" s="558" t="s">
        <v>1024</v>
      </c>
      <c r="G31" s="367" t="s">
        <v>1025</v>
      </c>
      <c r="H31" s="9" t="str">
        <f>+IF(I31=""," ",VLOOKUP(I31,Listas!$I$8:$J$10,2,FALSE))</f>
        <v xml:space="preserve"> </v>
      </c>
      <c r="I31" s="326"/>
      <c r="J31" s="360" t="str">
        <f>+IF(K31=""," ",VLOOKUP(K31,PUC!$B:$C,2,FALSE))</f>
        <v xml:space="preserve"> </v>
      </c>
      <c r="K31" s="326"/>
      <c r="L31" s="11" t="str">
        <f>+IF(M31=""," ",VLOOKUP(M31,Listas!$F$9:$G$17,2,FALSE))</f>
        <v xml:space="preserve"> </v>
      </c>
      <c r="M31" s="348"/>
      <c r="N31" s="337"/>
      <c r="O31" s="15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7"/>
    </row>
    <row r="32" spans="1:27" s="57" customFormat="1" ht="25.5">
      <c r="A32" s="8"/>
      <c r="B32" s="11" t="str">
        <f>+IFERROR(VLOOKUP(C32,Listas!$L$8:$M$100,2,FALSE),"")</f>
        <v>10040101</v>
      </c>
      <c r="C32" s="326" t="s">
        <v>480</v>
      </c>
      <c r="D32" s="264"/>
      <c r="E32" s="265"/>
      <c r="F32" s="557"/>
      <c r="G32" s="367" t="s">
        <v>1026</v>
      </c>
      <c r="H32" s="9" t="str">
        <f>+IF(I32=""," ",VLOOKUP(I32,Listas!$I$8:$J$10,2,FALSE))</f>
        <v xml:space="preserve"> </v>
      </c>
      <c r="I32" s="326"/>
      <c r="J32" s="360" t="str">
        <f>+IF(K32=""," ",VLOOKUP(K32,PUC!$B:$C,2,FALSE))</f>
        <v xml:space="preserve"> </v>
      </c>
      <c r="K32" s="326"/>
      <c r="L32" s="11" t="str">
        <f>+IF(M32=""," ",VLOOKUP(M32,Listas!$F$9:$G$17,2,FALSE))</f>
        <v xml:space="preserve"> </v>
      </c>
      <c r="M32" s="348"/>
      <c r="N32" s="337"/>
      <c r="O32" s="15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7"/>
    </row>
    <row r="33" spans="1:26" s="57" customFormat="1" ht="25.5">
      <c r="A33" s="8"/>
      <c r="B33" s="11" t="str">
        <f>+IFERROR(VLOOKUP(C33,Listas!$L$8:$M$100,2,FALSE),"")</f>
        <v>10040101</v>
      </c>
      <c r="C33" s="326" t="s">
        <v>480</v>
      </c>
      <c r="D33" s="264"/>
      <c r="E33" s="265"/>
      <c r="F33" s="558" t="s">
        <v>1027</v>
      </c>
      <c r="G33" s="367" t="s">
        <v>1028</v>
      </c>
      <c r="H33" s="9" t="str">
        <f>+IF(I33=""," ",VLOOKUP(I33,Listas!$I$8:$J$10,2,FALSE))</f>
        <v xml:space="preserve"> </v>
      </c>
      <c r="I33" s="326"/>
      <c r="J33" s="360" t="str">
        <f>+IF(K33=""," ",VLOOKUP(K33,PUC!$B:$C,2,FALSE))</f>
        <v xml:space="preserve"> </v>
      </c>
      <c r="K33" s="326"/>
      <c r="L33" s="11" t="str">
        <f>+IF(M33=""," ",VLOOKUP(M33,Listas!$F$9:$G$17,2,FALSE))</f>
        <v xml:space="preserve"> </v>
      </c>
      <c r="M33" s="348"/>
      <c r="N33" s="337"/>
      <c r="O33" s="15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7"/>
    </row>
    <row r="34" spans="1:26" s="57" customFormat="1" ht="25.5">
      <c r="A34" s="8"/>
      <c r="B34" s="11" t="str">
        <f>+IFERROR(VLOOKUP(C34,Listas!$L$8:$M$100,2,FALSE),"")</f>
        <v>10040101</v>
      </c>
      <c r="C34" s="326" t="s">
        <v>480</v>
      </c>
      <c r="D34" s="264"/>
      <c r="E34" s="265"/>
      <c r="F34" s="557"/>
      <c r="G34" s="367" t="s">
        <v>1029</v>
      </c>
      <c r="H34" s="9" t="str">
        <f>+IF(I34=""," ",VLOOKUP(I34,Listas!$I$8:$J$10,2,FALSE))</f>
        <v xml:space="preserve"> </v>
      </c>
      <c r="I34" s="326"/>
      <c r="J34" s="360" t="str">
        <f>+IF(K34=""," ",VLOOKUP(K34,PUC!$B:$C,2,FALSE))</f>
        <v xml:space="preserve"> </v>
      </c>
      <c r="K34" s="326"/>
      <c r="L34" s="11" t="str">
        <f>+IF(M34=""," ",VLOOKUP(M34,Listas!$F$9:$G$17,2,FALSE))</f>
        <v xml:space="preserve"> </v>
      </c>
      <c r="M34" s="348"/>
      <c r="N34" s="337"/>
      <c r="O34" s="15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7"/>
    </row>
    <row r="35" spans="1:26" s="57" customFormat="1" ht="29.25" customHeight="1">
      <c r="A35" s="8"/>
      <c r="B35" s="11" t="str">
        <f>+IFERROR(VLOOKUP(C35,Listas!$L$8:$M$100,2,FALSE),"")</f>
        <v>10040101</v>
      </c>
      <c r="C35" s="326" t="s">
        <v>480</v>
      </c>
      <c r="D35" s="264"/>
      <c r="E35" s="265"/>
      <c r="F35" s="264"/>
      <c r="G35" s="265"/>
      <c r="H35" s="9" t="str">
        <f>+IF(I35=""," ",VLOOKUP(I35,Listas!$I$8:$J$10,2,FALSE))</f>
        <v xml:space="preserve"> </v>
      </c>
      <c r="I35" s="326"/>
      <c r="J35" s="360" t="str">
        <f>+IF(K35=""," ",VLOOKUP(K35,PUC!$B:$C,2,FALSE))</f>
        <v xml:space="preserve"> </v>
      </c>
      <c r="K35" s="326"/>
      <c r="L35" s="11" t="str">
        <f>+IF(M35=""," ",VLOOKUP(M35,Listas!$F$9:$G$17,2,FALSE))</f>
        <v xml:space="preserve"> </v>
      </c>
      <c r="M35" s="348"/>
      <c r="N35" s="337"/>
      <c r="O35" s="15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7"/>
    </row>
    <row r="36" spans="1:26" s="57" customFormat="1" ht="29.25" customHeight="1" thickBot="1">
      <c r="A36" s="8"/>
      <c r="B36" s="21" t="str">
        <f>+IFERROR(VLOOKUP(C36,Listas!$L$8:$M$100,2,FALSE),"")</f>
        <v>10040101</v>
      </c>
      <c r="C36" s="332" t="s">
        <v>480</v>
      </c>
      <c r="D36" s="268"/>
      <c r="E36" s="269"/>
      <c r="F36" s="268"/>
      <c r="G36" s="269"/>
      <c r="H36" s="20" t="str">
        <f>+IF(I36=""," ",VLOOKUP(I36,Listas!$I$8:$J$10,2,FALSE))</f>
        <v xml:space="preserve"> </v>
      </c>
      <c r="I36" s="332"/>
      <c r="J36" s="364" t="str">
        <f>+IF(K36=""," ",VLOOKUP(K36,PUC!$B:$C,2,FALSE))</f>
        <v xml:space="preserve"> </v>
      </c>
      <c r="K36" s="332"/>
      <c r="L36" s="21" t="str">
        <f>+IF(M36=""," ",VLOOKUP(M36,Listas!$F$9:$G$17,2,FALSE))</f>
        <v xml:space="preserve"> </v>
      </c>
      <c r="M36" s="350"/>
      <c r="N36" s="339"/>
      <c r="O36" s="22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</row>
    <row r="37" spans="1:26" s="57" customFormat="1" ht="38.25">
      <c r="A37" s="8"/>
      <c r="B37" s="19" t="str">
        <f>+IFERROR(VLOOKUP(C37,Listas!$L$8:$M$100,2,FALSE),"")</f>
        <v>10040104</v>
      </c>
      <c r="C37" s="331" t="s">
        <v>484</v>
      </c>
      <c r="D37" s="266"/>
      <c r="E37" s="267"/>
      <c r="F37" s="556" t="s">
        <v>1030</v>
      </c>
      <c r="G37" s="368" t="s">
        <v>1037</v>
      </c>
      <c r="H37" s="30" t="str">
        <f>+IF(I37=""," ",VLOOKUP(I37,Listas!$I$21:$J$23,2,FALSE))</f>
        <v xml:space="preserve"> </v>
      </c>
      <c r="I37" s="334"/>
      <c r="J37" s="360" t="str">
        <f>+IF(K37=""," ",VLOOKUP(K37,PUC!$B:$C,2,FALSE))</f>
        <v xml:space="preserve"> </v>
      </c>
      <c r="K37" s="326"/>
      <c r="L37" s="11" t="str">
        <f>+IF(M37=""," ",VLOOKUP(M37,Listas!$F$9:$G$17,2,FALSE))</f>
        <v xml:space="preserve"> </v>
      </c>
      <c r="M37" s="348"/>
      <c r="N37" s="338"/>
      <c r="O37" s="12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4"/>
    </row>
    <row r="38" spans="1:26" s="57" customFormat="1" ht="38.25">
      <c r="A38" s="8"/>
      <c r="B38" s="11" t="str">
        <f>+IFERROR(VLOOKUP(C38,Listas!$L$8:$M$100,2,FALSE),"")</f>
        <v>10040104</v>
      </c>
      <c r="C38" s="326" t="s">
        <v>484</v>
      </c>
      <c r="D38" s="264"/>
      <c r="E38" s="265"/>
      <c r="F38" s="587"/>
      <c r="G38" s="367" t="s">
        <v>1038</v>
      </c>
      <c r="H38" s="30" t="str">
        <f>+IF(I38=""," ",VLOOKUP(I38,Listas!$I$21:$J$23,2,FALSE))</f>
        <v>09</v>
      </c>
      <c r="I38" s="334" t="s">
        <v>1279</v>
      </c>
      <c r="J38" s="360">
        <f>+IF(K38=""," ",VLOOKUP(K38,PUC!$B:$C,2,FALSE))</f>
        <v>6209021701</v>
      </c>
      <c r="K38" s="326" t="s">
        <v>961</v>
      </c>
      <c r="L38" s="11" t="str">
        <f>+IF(M38=""," ",VLOOKUP(M38,Listas!$F$9:$G$17,2,FALSE))</f>
        <v>02</v>
      </c>
      <c r="M38" s="348" t="s">
        <v>447</v>
      </c>
      <c r="N38" s="337"/>
      <c r="O38" s="15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7"/>
    </row>
    <row r="39" spans="1:26" s="57" customFormat="1" ht="38.25">
      <c r="A39" s="8"/>
      <c r="B39" s="11" t="str">
        <f>+IFERROR(VLOOKUP(C39,Listas!$L$8:$M$100,2,FALSE),"")</f>
        <v>10040104</v>
      </c>
      <c r="C39" s="326" t="s">
        <v>484</v>
      </c>
      <c r="D39" s="264"/>
      <c r="E39" s="265"/>
      <c r="F39" s="587"/>
      <c r="G39" s="367" t="s">
        <v>1039</v>
      </c>
      <c r="H39" s="30" t="str">
        <f>+IF(I39=""," ",VLOOKUP(I39,Listas!$I$21:$J$23,2,FALSE))</f>
        <v>09</v>
      </c>
      <c r="I39" s="334" t="s">
        <v>1279</v>
      </c>
      <c r="J39" s="360">
        <f>+IF(K39=""," ",VLOOKUP(K39,PUC!$B:$C,2,FALSE))</f>
        <v>6209021104</v>
      </c>
      <c r="K39" s="326" t="s">
        <v>965</v>
      </c>
      <c r="L39" s="11" t="str">
        <f>+IF(M39=""," ",VLOOKUP(M39,Listas!$F$9:$G$17,2,FALSE))</f>
        <v>02</v>
      </c>
      <c r="M39" s="348" t="s">
        <v>447</v>
      </c>
      <c r="N39" s="337"/>
      <c r="O39" s="15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7"/>
    </row>
    <row r="40" spans="1:26" s="57" customFormat="1" ht="38.25">
      <c r="A40" s="8"/>
      <c r="B40" s="11" t="str">
        <f>+IFERROR(VLOOKUP(C40,Listas!$L$8:$M$100,2,FALSE),"")</f>
        <v>10040104</v>
      </c>
      <c r="C40" s="326" t="s">
        <v>484</v>
      </c>
      <c r="D40" s="264"/>
      <c r="E40" s="265"/>
      <c r="F40" s="587"/>
      <c r="G40" s="369" t="s">
        <v>1040</v>
      </c>
      <c r="H40" s="30" t="str">
        <f>+IF(I40=""," ",VLOOKUP(I40,Listas!$I$21:$J$23,2,FALSE))</f>
        <v>09</v>
      </c>
      <c r="I40" s="334" t="s">
        <v>1279</v>
      </c>
      <c r="J40" s="360">
        <f>+IF(K40=""," ",VLOOKUP(K40,PUC!$B:$C,2,FALSE))</f>
        <v>6209021104</v>
      </c>
      <c r="K40" s="326" t="s">
        <v>965</v>
      </c>
      <c r="L40" s="11" t="str">
        <f>+IF(M40=""," ",VLOOKUP(M40,Listas!$F$9:$G$17,2,FALSE))</f>
        <v>02</v>
      </c>
      <c r="M40" s="348" t="s">
        <v>447</v>
      </c>
      <c r="N40" s="365"/>
      <c r="O40" s="15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7"/>
    </row>
    <row r="41" spans="1:26" s="57" customFormat="1" ht="38.25">
      <c r="A41" s="8"/>
      <c r="B41" s="11" t="str">
        <f>+IFERROR(VLOOKUP(C41,Listas!$L$8:$M$100,2,FALSE),"")</f>
        <v>10040104</v>
      </c>
      <c r="C41" s="326" t="s">
        <v>484</v>
      </c>
      <c r="D41" s="264"/>
      <c r="E41" s="265"/>
      <c r="F41" s="587"/>
      <c r="G41" s="369" t="s">
        <v>1041</v>
      </c>
      <c r="H41" s="30" t="str">
        <f>+IF(I41=""," ",VLOOKUP(I41,Listas!$I$21:$J$23,2,FALSE))</f>
        <v>09</v>
      </c>
      <c r="I41" s="334" t="s">
        <v>1279</v>
      </c>
      <c r="J41" s="360">
        <f>+IF(K41=""," ",VLOOKUP(K41,PUC!$B:$C,2,FALSE))</f>
        <v>6209021101</v>
      </c>
      <c r="K41" s="326" t="s">
        <v>964</v>
      </c>
      <c r="L41" s="11" t="str">
        <f>+IF(M41=""," ",VLOOKUP(M41,Listas!$F$9:$G$17,2,FALSE))</f>
        <v>02</v>
      </c>
      <c r="M41" s="348" t="s">
        <v>447</v>
      </c>
      <c r="N41" s="365"/>
      <c r="O41" s="15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7"/>
    </row>
    <row r="42" spans="1:26" s="57" customFormat="1" ht="38.25">
      <c r="A42" s="8"/>
      <c r="B42" s="11" t="str">
        <f>+IFERROR(VLOOKUP(C42,Listas!$L$8:$M$100,2,FALSE),"")</f>
        <v>10040104</v>
      </c>
      <c r="C42" s="326" t="s">
        <v>484</v>
      </c>
      <c r="D42" s="264"/>
      <c r="E42" s="265"/>
      <c r="F42" s="587"/>
      <c r="G42" s="367"/>
      <c r="H42" s="9" t="str">
        <f>+IF(I42=""," ",VLOOKUP(I42,Listas!$I$8:$J$10,2,FALSE))</f>
        <v xml:space="preserve"> </v>
      </c>
      <c r="I42" s="326"/>
      <c r="J42" s="360" t="str">
        <f>+IF(K42=""," ",VLOOKUP(K42,PUC!$B:$C,2,FALSE))</f>
        <v xml:space="preserve"> </v>
      </c>
      <c r="K42" s="326"/>
      <c r="L42" s="11" t="str">
        <f>+IF(M42=""," ",VLOOKUP(M42,Listas!$F$9:$G$17,2,FALSE))</f>
        <v xml:space="preserve"> </v>
      </c>
      <c r="M42" s="348"/>
      <c r="N42" s="337"/>
      <c r="O42" s="15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7"/>
    </row>
    <row r="43" spans="1:26" s="57" customFormat="1" ht="38.25">
      <c r="A43" s="8"/>
      <c r="B43" s="11" t="str">
        <f>+IFERROR(VLOOKUP(C43,Listas!$L$8:$M$100,2,FALSE),"")</f>
        <v>10040104</v>
      </c>
      <c r="C43" s="326" t="s">
        <v>484</v>
      </c>
      <c r="D43" s="264"/>
      <c r="E43" s="265"/>
      <c r="F43" s="557"/>
      <c r="G43" s="367"/>
      <c r="H43" s="9" t="str">
        <f>+IF(I43=""," ",VLOOKUP(I43,Listas!$I$8:$J$10,2,FALSE))</f>
        <v xml:space="preserve"> </v>
      </c>
      <c r="I43" s="326"/>
      <c r="J43" s="360" t="str">
        <f>+IF(K43=""," ",VLOOKUP(K43,PUC!$B:$C,2,FALSE))</f>
        <v xml:space="preserve"> </v>
      </c>
      <c r="K43" s="326"/>
      <c r="L43" s="11" t="str">
        <f>+IF(M43=""," ",VLOOKUP(M43,Listas!$F$9:$G$17,2,FALSE))</f>
        <v xml:space="preserve"> </v>
      </c>
      <c r="M43" s="348"/>
      <c r="N43" s="337"/>
      <c r="O43" s="15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7"/>
    </row>
    <row r="44" spans="1:26" s="57" customFormat="1" ht="51">
      <c r="A44" s="8"/>
      <c r="B44" s="11" t="str">
        <f>+IFERROR(VLOOKUP(C44,Listas!$L$8:$M$100,2,FALSE),"")</f>
        <v>10040104</v>
      </c>
      <c r="C44" s="326" t="s">
        <v>484</v>
      </c>
      <c r="D44" s="264"/>
      <c r="E44" s="265"/>
      <c r="F44" s="558" t="s">
        <v>1031</v>
      </c>
      <c r="G44" s="367" t="s">
        <v>1032</v>
      </c>
      <c r="H44" s="9" t="str">
        <f>+IF(I44=""," ",VLOOKUP(I44,Listas!$I$8:$J$10,2,FALSE))</f>
        <v xml:space="preserve"> </v>
      </c>
      <c r="I44" s="326"/>
      <c r="J44" s="360" t="str">
        <f>+IF(K44=""," ",VLOOKUP(K44,PUC!$B:$C,2,FALSE))</f>
        <v xml:space="preserve"> </v>
      </c>
      <c r="K44" s="326"/>
      <c r="L44" s="11" t="str">
        <f>+IF(M44=""," ",VLOOKUP(M44,Listas!$F$9:$G$17,2,FALSE))</f>
        <v xml:space="preserve"> </v>
      </c>
      <c r="M44" s="348"/>
      <c r="N44" s="337"/>
      <c r="O44" s="15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7"/>
    </row>
    <row r="45" spans="1:26" s="57" customFormat="1" ht="51">
      <c r="A45" s="8"/>
      <c r="B45" s="11" t="str">
        <f>+IFERROR(VLOOKUP(C45,Listas!$L$8:$M$100,2,FALSE),"")</f>
        <v>10040104</v>
      </c>
      <c r="C45" s="326" t="s">
        <v>484</v>
      </c>
      <c r="D45" s="264"/>
      <c r="E45" s="265"/>
      <c r="F45" s="587"/>
      <c r="G45" s="367" t="s">
        <v>1033</v>
      </c>
      <c r="H45" s="9" t="str">
        <f>+IF(I45=""," ",VLOOKUP(I45,Listas!$I$8:$J$10,2,FALSE))</f>
        <v xml:space="preserve"> </v>
      </c>
      <c r="I45" s="326"/>
      <c r="J45" s="360" t="str">
        <f>+IF(K45=""," ",VLOOKUP(K45,PUC!$B:$C,2,FALSE))</f>
        <v xml:space="preserve"> </v>
      </c>
      <c r="K45" s="326"/>
      <c r="L45" s="11" t="str">
        <f>+IF(M45=""," ",VLOOKUP(M45,Listas!$F$9:$G$17,2,FALSE))</f>
        <v xml:space="preserve"> </v>
      </c>
      <c r="M45" s="348"/>
      <c r="N45" s="337"/>
      <c r="O45" s="15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7"/>
    </row>
    <row r="46" spans="1:26" s="57" customFormat="1" ht="38.25">
      <c r="A46" s="8"/>
      <c r="B46" s="11" t="str">
        <f>+IFERROR(VLOOKUP(C46,Listas!$L$8:$M$100,2,FALSE),"")</f>
        <v>10040104</v>
      </c>
      <c r="C46" s="326" t="s">
        <v>484</v>
      </c>
      <c r="D46" s="264"/>
      <c r="E46" s="265"/>
      <c r="F46" s="587"/>
      <c r="G46" s="367" t="s">
        <v>1042</v>
      </c>
      <c r="H46" s="9" t="str">
        <f>+IF(I46=""," ",VLOOKUP(I46,Listas!$I$8:$J$10,2,FALSE))</f>
        <v>04</v>
      </c>
      <c r="I46" s="326" t="s">
        <v>469</v>
      </c>
      <c r="J46" s="360">
        <f>+IF(K46=""," ",VLOOKUP(K46,PUC!$B:$C,2,FALSE))</f>
        <v>6208021102</v>
      </c>
      <c r="K46" s="326" t="s">
        <v>974</v>
      </c>
      <c r="L46" s="11" t="str">
        <f>+IF(M46=""," ",VLOOKUP(M46,Listas!$F$9:$G$17,2,FALSE))</f>
        <v>02</v>
      </c>
      <c r="M46" s="348" t="s">
        <v>447</v>
      </c>
      <c r="N46" s="337"/>
      <c r="O46" s="15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7"/>
    </row>
    <row r="47" spans="1:26" s="57" customFormat="1" ht="38.25">
      <c r="A47" s="8"/>
      <c r="B47" s="11" t="str">
        <f>+IFERROR(VLOOKUP(C47,Listas!$L$8:$M$100,2,FALSE),"")</f>
        <v>10040104</v>
      </c>
      <c r="C47" s="326" t="s">
        <v>484</v>
      </c>
      <c r="D47" s="264"/>
      <c r="E47" s="265"/>
      <c r="F47" s="587"/>
      <c r="G47" s="367" t="s">
        <v>1036</v>
      </c>
      <c r="H47" s="9" t="str">
        <f>+IF(I47=""," ",VLOOKUP(I47,Listas!$I$8:$J$10,2,FALSE))</f>
        <v xml:space="preserve"> </v>
      </c>
      <c r="I47" s="326"/>
      <c r="J47" s="360" t="str">
        <f>+IF(K47=""," ",VLOOKUP(K47,PUC!$B:$C,2,FALSE))</f>
        <v xml:space="preserve"> </v>
      </c>
      <c r="K47" s="326"/>
      <c r="L47" s="11" t="str">
        <f>+IF(M47=""," ",VLOOKUP(M47,Listas!$F$9:$G$17,2,FALSE))</f>
        <v xml:space="preserve"> </v>
      </c>
      <c r="M47" s="348"/>
      <c r="N47" s="337"/>
      <c r="O47" s="15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7"/>
    </row>
    <row r="48" spans="1:26" s="57" customFormat="1" ht="51">
      <c r="A48" s="8"/>
      <c r="B48" s="11" t="str">
        <f>+IFERROR(VLOOKUP(C48,Listas!$L$8:$M$100,2,FALSE),"")</f>
        <v>10040104</v>
      </c>
      <c r="C48" s="326" t="s">
        <v>484</v>
      </c>
      <c r="D48" s="264"/>
      <c r="E48" s="265"/>
      <c r="F48" s="587"/>
      <c r="G48" s="367" t="s">
        <v>1043</v>
      </c>
      <c r="H48" s="9" t="str">
        <f>+IF(I48=""," ",VLOOKUP(I48,Listas!$I$8:$J$10,2,FALSE))</f>
        <v xml:space="preserve"> </v>
      </c>
      <c r="I48" s="326"/>
      <c r="J48" s="360" t="str">
        <f>+IF(K48=""," ",VLOOKUP(K48,PUC!$B:$C,2,FALSE))</f>
        <v xml:space="preserve"> </v>
      </c>
      <c r="K48" s="326"/>
      <c r="L48" s="11" t="str">
        <f>+IF(M48=""," ",VLOOKUP(M48,Listas!$F$9:$G$17,2,FALSE))</f>
        <v xml:space="preserve"> </v>
      </c>
      <c r="M48" s="348"/>
      <c r="N48" s="337"/>
      <c r="O48" s="15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7"/>
    </row>
    <row r="49" spans="1:27" s="57" customFormat="1" ht="38.25">
      <c r="A49" s="8"/>
      <c r="B49" s="11" t="str">
        <f>+IFERROR(VLOOKUP(C49,Listas!$L$8:$M$100,2,FALSE),"")</f>
        <v>10040104</v>
      </c>
      <c r="C49" s="326" t="s">
        <v>484</v>
      </c>
      <c r="D49" s="264"/>
      <c r="E49" s="265"/>
      <c r="F49" s="587"/>
      <c r="G49" s="367" t="s">
        <v>1044</v>
      </c>
      <c r="H49" s="9" t="str">
        <f>+IF(I49=""," ",VLOOKUP(I49,Listas!$I$8:$J$10,2,FALSE))</f>
        <v xml:space="preserve"> </v>
      </c>
      <c r="I49" s="326"/>
      <c r="J49" s="360" t="str">
        <f>+IF(K49=""," ",VLOOKUP(K49,PUC!$B:$C,2,FALSE))</f>
        <v xml:space="preserve"> </v>
      </c>
      <c r="K49" s="326"/>
      <c r="L49" s="11" t="str">
        <f>+IF(M49=""," ",VLOOKUP(M49,Listas!$F$9:$G$17,2,FALSE))</f>
        <v xml:space="preserve"> </v>
      </c>
      <c r="M49" s="348"/>
      <c r="N49" s="337"/>
      <c r="O49" s="15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7"/>
    </row>
    <row r="50" spans="1:27" s="57" customFormat="1" ht="38.25">
      <c r="A50" s="8"/>
      <c r="B50" s="11" t="str">
        <f>+IFERROR(VLOOKUP(C50,Listas!$L$8:$M$100,2,FALSE),"")</f>
        <v>10040104</v>
      </c>
      <c r="C50" s="326" t="s">
        <v>484</v>
      </c>
      <c r="D50" s="264"/>
      <c r="E50" s="265"/>
      <c r="F50" s="587"/>
      <c r="G50" s="367" t="s">
        <v>1045</v>
      </c>
      <c r="H50" s="9" t="str">
        <f>+IF(I50=""," ",VLOOKUP(I50,Listas!$I$8:$J$10,2,FALSE))</f>
        <v xml:space="preserve"> </v>
      </c>
      <c r="I50" s="326"/>
      <c r="J50" s="360" t="str">
        <f>+IF(K50=""," ",VLOOKUP(K50,PUC!$B:$C,2,FALSE))</f>
        <v xml:space="preserve"> </v>
      </c>
      <c r="K50" s="326"/>
      <c r="L50" s="11" t="str">
        <f>+IF(M50=""," ",VLOOKUP(M50,Listas!$F$9:$G$17,2,FALSE))</f>
        <v xml:space="preserve"> </v>
      </c>
      <c r="M50" s="348"/>
      <c r="N50" s="337"/>
      <c r="O50" s="15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7"/>
    </row>
    <row r="51" spans="1:27" s="57" customFormat="1" ht="51">
      <c r="A51" s="8" t="s">
        <v>232</v>
      </c>
      <c r="B51" s="11" t="str">
        <f>+IFERROR(VLOOKUP(C51,Listas!$L$8:$M$100,2,FALSE),"")</f>
        <v>10040104</v>
      </c>
      <c r="C51" s="326" t="s">
        <v>484</v>
      </c>
      <c r="D51" s="264"/>
      <c r="E51" s="265"/>
      <c r="F51" s="587"/>
      <c r="G51" s="367" t="s">
        <v>1046</v>
      </c>
      <c r="H51" s="9" t="str">
        <f>+IF(I51=""," ",VLOOKUP(I51,Listas!$I$8:$J$10,2,FALSE))</f>
        <v xml:space="preserve"> </v>
      </c>
      <c r="I51" s="326"/>
      <c r="J51" s="360" t="str">
        <f>+IF(K51=""," ",VLOOKUP(K51,PUC!$B:$C,2,FALSE))</f>
        <v xml:space="preserve"> </v>
      </c>
      <c r="K51" s="326"/>
      <c r="L51" s="11" t="str">
        <f>+IF(M51=""," ",VLOOKUP(M51,Listas!$F$9:$G$17,2,FALSE))</f>
        <v xml:space="preserve"> </v>
      </c>
      <c r="M51" s="348"/>
      <c r="N51" s="337"/>
      <c r="O51" s="15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7"/>
    </row>
    <row r="52" spans="1:27" s="57" customFormat="1" ht="38.25">
      <c r="A52" s="8"/>
      <c r="B52" s="11" t="str">
        <f>+IFERROR(VLOOKUP(C52,Listas!$L$8:$M$100,2,FALSE),"")</f>
        <v>10040104</v>
      </c>
      <c r="C52" s="326" t="s">
        <v>484</v>
      </c>
      <c r="D52" s="264"/>
      <c r="E52" s="265"/>
      <c r="F52" s="587"/>
      <c r="G52" s="367" t="s">
        <v>1047</v>
      </c>
      <c r="H52" s="9" t="str">
        <f>+IF(I52=""," ",VLOOKUP(I52,Listas!$I$8:$J$10,2,FALSE))</f>
        <v xml:space="preserve"> </v>
      </c>
      <c r="I52" s="326"/>
      <c r="J52" s="360" t="str">
        <f>+IF(K52=""," ",VLOOKUP(K52,PUC!$B:$C,2,FALSE))</f>
        <v xml:space="preserve"> </v>
      </c>
      <c r="K52" s="326"/>
      <c r="L52" s="11" t="str">
        <f>+IF(M52=""," ",VLOOKUP(M52,Listas!$F$9:$G$17,2,FALSE))</f>
        <v xml:space="preserve"> </v>
      </c>
      <c r="M52" s="348"/>
      <c r="N52" s="337"/>
      <c r="O52" s="15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7"/>
    </row>
    <row r="53" spans="1:27" s="57" customFormat="1" ht="38.25">
      <c r="A53" s="8"/>
      <c r="B53" s="11" t="str">
        <f>+IFERROR(VLOOKUP(C53,Listas!$L$8:$M$100,2,FALSE),"")</f>
        <v>10040104</v>
      </c>
      <c r="C53" s="326" t="s">
        <v>484</v>
      </c>
      <c r="D53" s="264"/>
      <c r="E53" s="265"/>
      <c r="F53" s="587"/>
      <c r="G53" s="367" t="s">
        <v>1034</v>
      </c>
      <c r="H53" s="9" t="str">
        <f>+IF(I53=""," ",VLOOKUP(I53,Listas!$I$8:$J$10,2,FALSE))</f>
        <v>04</v>
      </c>
      <c r="I53" s="326" t="s">
        <v>469</v>
      </c>
      <c r="J53" s="360">
        <f>+IF(K53=""," ",VLOOKUP(K53,PUC!$B:$C,2,FALSE))</f>
        <v>6208021813</v>
      </c>
      <c r="K53" s="326" t="s">
        <v>980</v>
      </c>
      <c r="L53" s="11" t="str">
        <f>+IF(M53=""," ",VLOOKUP(M53,Listas!$F$9:$G$17,2,FALSE))</f>
        <v>02</v>
      </c>
      <c r="M53" s="348" t="s">
        <v>447</v>
      </c>
      <c r="N53" s="337"/>
      <c r="O53" s="15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7"/>
    </row>
    <row r="54" spans="1:27" s="57" customFormat="1" ht="63.75">
      <c r="A54" s="8"/>
      <c r="B54" s="11" t="str">
        <f>+IFERROR(VLOOKUP(C54,Listas!$L$8:$M$100,2,FALSE),"")</f>
        <v>10040104</v>
      </c>
      <c r="C54" s="326" t="s">
        <v>484</v>
      </c>
      <c r="D54" s="264"/>
      <c r="E54" s="265"/>
      <c r="F54" s="587"/>
      <c r="G54" s="367" t="s">
        <v>1048</v>
      </c>
      <c r="H54" s="9" t="str">
        <f>+IF(I54=""," ",VLOOKUP(I54,Listas!$I$8:$J$10,2,FALSE))</f>
        <v>02</v>
      </c>
      <c r="I54" s="326" t="s">
        <v>467</v>
      </c>
      <c r="J54" s="360">
        <f>+IF(K54=""," ",VLOOKUP(K54,PUC!$B:$C,2,FALSE))</f>
        <v>6208021807</v>
      </c>
      <c r="K54" s="326" t="s">
        <v>838</v>
      </c>
      <c r="L54" s="11" t="str">
        <f>+IF(M54=""," ",VLOOKUP(M54,Listas!$F$9:$G$17,2,FALSE))</f>
        <v>02</v>
      </c>
      <c r="M54" s="348" t="s">
        <v>447</v>
      </c>
      <c r="N54" s="337"/>
      <c r="O54" s="15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7"/>
    </row>
    <row r="55" spans="1:27" s="57" customFormat="1" ht="38.25">
      <c r="A55" s="8"/>
      <c r="B55" s="11" t="str">
        <f>+IFERROR(VLOOKUP(C55,Listas!$L$8:$M$100,2,FALSE),"")</f>
        <v>10040104</v>
      </c>
      <c r="C55" s="326" t="s">
        <v>484</v>
      </c>
      <c r="D55" s="264"/>
      <c r="E55" s="265"/>
      <c r="F55" s="557"/>
      <c r="G55" s="367" t="s">
        <v>1035</v>
      </c>
      <c r="H55" s="9" t="str">
        <f>+IF(I55=""," ",VLOOKUP(I55,Listas!$I$8:$J$10,2,FALSE))</f>
        <v>02</v>
      </c>
      <c r="I55" s="326" t="s">
        <v>467</v>
      </c>
      <c r="J55" s="360">
        <f>+IF(K55=""," ",VLOOKUP(K55,PUC!$B:$C,2,FALSE))</f>
        <v>6208020707</v>
      </c>
      <c r="K55" s="326" t="s">
        <v>821</v>
      </c>
      <c r="L55" s="11" t="str">
        <f>+IF(M55=""," ",VLOOKUP(M55,Listas!$F$9:$G$17,2,FALSE))</f>
        <v>02</v>
      </c>
      <c r="M55" s="348" t="s">
        <v>447</v>
      </c>
      <c r="N55" s="337"/>
      <c r="O55" s="15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7"/>
    </row>
    <row r="56" spans="1:27" s="57" customFormat="1" ht="29.25" customHeight="1">
      <c r="A56" s="8"/>
      <c r="B56" s="11" t="str">
        <f>+IFERROR(VLOOKUP(C56,Listas!$L$8:$M$100,2,FALSE),"")</f>
        <v>10040104</v>
      </c>
      <c r="C56" s="326" t="s">
        <v>484</v>
      </c>
      <c r="D56" s="264"/>
      <c r="E56" s="265"/>
      <c r="F56" s="264"/>
      <c r="G56" s="265"/>
      <c r="H56" s="9" t="str">
        <f>+IF(I56=""," ",VLOOKUP(I56,Listas!$I$8:$J$10,2,FALSE))</f>
        <v xml:space="preserve"> </v>
      </c>
      <c r="I56" s="326"/>
      <c r="J56" s="360" t="str">
        <f>+IF(K56=""," ",VLOOKUP(K56,PUC!$B:$C,2,FALSE))</f>
        <v xml:space="preserve"> </v>
      </c>
      <c r="K56" s="326"/>
      <c r="L56" s="11" t="str">
        <f>+IF(M56=""," ",VLOOKUP(M56,Listas!$F$9:$G$17,2,FALSE))</f>
        <v xml:space="preserve"> </v>
      </c>
      <c r="M56" s="348"/>
      <c r="N56" s="337"/>
      <c r="O56" s="15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7"/>
    </row>
    <row r="57" spans="1:27" s="57" customFormat="1" ht="29.25" customHeight="1" thickBot="1">
      <c r="A57" s="8"/>
      <c r="B57" s="26" t="str">
        <f>+IFERROR(VLOOKUP(C57,Listas!$L$8:$M$100,2,FALSE),"")</f>
        <v>10040104</v>
      </c>
      <c r="C57" s="333" t="s">
        <v>484</v>
      </c>
      <c r="D57" s="270"/>
      <c r="E57" s="271"/>
      <c r="F57" s="270"/>
      <c r="G57" s="271"/>
      <c r="H57" s="25" t="str">
        <f>+IF(I57=""," ",VLOOKUP(I57,Listas!$I$8:$J$10,2,FALSE))</f>
        <v xml:space="preserve"> </v>
      </c>
      <c r="I57" s="333"/>
      <c r="J57" s="366" t="str">
        <f>+IF(K57=""," ",VLOOKUP(K57,PUC!$B:$C,2,FALSE))</f>
        <v xml:space="preserve"> </v>
      </c>
      <c r="K57" s="333"/>
      <c r="L57" s="26" t="str">
        <f>+IF(M57=""," ",VLOOKUP(M57,Listas!$F$9:$G$17,2,FALSE))</f>
        <v xml:space="preserve"> </v>
      </c>
      <c r="M57" s="351"/>
      <c r="N57" s="340"/>
      <c r="O57" s="27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9"/>
    </row>
    <row r="58" spans="1:27" s="57" customFormat="1" ht="63.75">
      <c r="A58" s="8"/>
      <c r="B58" s="19" t="str">
        <f>+IFERROR(VLOOKUP(C58,Listas!$L$8:$M$100,2,FALSE),"")</f>
        <v>10050101</v>
      </c>
      <c r="C58" s="331" t="s">
        <v>485</v>
      </c>
      <c r="D58" s="266"/>
      <c r="E58" s="267"/>
      <c r="F58" s="556" t="s">
        <v>1049</v>
      </c>
      <c r="G58" s="368" t="s">
        <v>1050</v>
      </c>
      <c r="H58" s="18" t="str">
        <f>+IF(I58=""," ",VLOOKUP(I58,Listas!$I$12:$J$14,2,FALSE))</f>
        <v>05</v>
      </c>
      <c r="I58" s="331" t="s">
        <v>470</v>
      </c>
      <c r="J58" s="363" t="s">
        <v>1252</v>
      </c>
      <c r="K58" s="331" t="s">
        <v>1214</v>
      </c>
      <c r="L58" s="19" t="str">
        <f>+IF(M58=""," ",VLOOKUP(M58,Listas!$F$9:$G$17,2,FALSE))</f>
        <v>03</v>
      </c>
      <c r="M58" s="349" t="s">
        <v>449</v>
      </c>
      <c r="N58" s="338">
        <f>+Resumen!M38-4500000</f>
        <v>2413000</v>
      </c>
      <c r="O58" s="12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4"/>
      <c r="AA58" s="57" t="str">
        <f>IF(I58="Gastos Investigación",GtosInves,IF(I58="Inversión",Inversiones,InverInvest))</f>
        <v>(Materia y Sumi) Elementos de Fotografia Y Audiovisuales</v>
      </c>
    </row>
    <row r="59" spans="1:27" s="57" customFormat="1" ht="25.5">
      <c r="A59" s="8"/>
      <c r="B59" s="11" t="str">
        <f>+IFERROR(VLOOKUP(C59,Listas!$L$8:$M$100,2,FALSE),"")</f>
        <v>10050101</v>
      </c>
      <c r="C59" s="326" t="s">
        <v>485</v>
      </c>
      <c r="D59" s="264"/>
      <c r="E59" s="265"/>
      <c r="F59" s="587"/>
      <c r="G59" s="367" t="s">
        <v>1051</v>
      </c>
      <c r="H59" s="9" t="str">
        <f>+IF(I59=""," ",VLOOKUP(I59,Listas!$I$12:$J$14,2,FALSE))</f>
        <v>05</v>
      </c>
      <c r="I59" s="326" t="s">
        <v>470</v>
      </c>
      <c r="J59" s="360">
        <v>6210030102</v>
      </c>
      <c r="K59" s="334" t="s">
        <v>1216</v>
      </c>
      <c r="L59" s="11" t="str">
        <f>+IF(M59=""," ",VLOOKUP(M59,Listas!$F$9:$G$17,2,FALSE))</f>
        <v>03</v>
      </c>
      <c r="M59" s="348" t="s">
        <v>449</v>
      </c>
      <c r="N59" s="337">
        <f>+Resumen!M39</f>
        <v>0</v>
      </c>
      <c r="O59" s="15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7"/>
    </row>
    <row r="60" spans="1:27" s="57" customFormat="1" ht="25.5">
      <c r="A60" s="8"/>
      <c r="B60" s="11" t="str">
        <f>+IFERROR(VLOOKUP(C60,Listas!$L$8:$M$100,2,FALSE),"")</f>
        <v>10050101</v>
      </c>
      <c r="C60" s="326" t="s">
        <v>485</v>
      </c>
      <c r="D60" s="264"/>
      <c r="E60" s="265"/>
      <c r="F60" s="557"/>
      <c r="G60" s="367" t="s">
        <v>1052</v>
      </c>
      <c r="H60" s="30" t="str">
        <f>+IF(I60=""," ",VLOOKUP(I60,Listas!$I$12:$J$14,2,FALSE))</f>
        <v xml:space="preserve"> </v>
      </c>
      <c r="I60" s="334"/>
      <c r="J60" s="360" t="str">
        <f>+IF(K60=""," ",VLOOKUP(K60,PUC!$B:$C,2,FALSE))</f>
        <v xml:space="preserve"> </v>
      </c>
      <c r="K60" s="334"/>
      <c r="L60" s="11" t="str">
        <f>+IF(M60=""," ",VLOOKUP(M60,Listas!$F$9:$G$17,2,FALSE))</f>
        <v xml:space="preserve"> </v>
      </c>
      <c r="M60" s="348"/>
      <c r="N60" s="337"/>
      <c r="O60" s="15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7"/>
    </row>
    <row r="61" spans="1:27" s="57" customFormat="1" ht="25.5" customHeight="1">
      <c r="A61" s="8"/>
      <c r="B61" s="11" t="str">
        <f>+IFERROR(VLOOKUP(C61,Listas!$L$8:$M$100,2,FALSE),"")</f>
        <v>10050101</v>
      </c>
      <c r="C61" s="326" t="s">
        <v>485</v>
      </c>
      <c r="D61" s="264"/>
      <c r="E61" s="265"/>
      <c r="F61" s="588" t="s">
        <v>1053</v>
      </c>
      <c r="G61" s="367" t="s">
        <v>1054</v>
      </c>
      <c r="H61" s="30" t="str">
        <f>+IF(I61=""," ",VLOOKUP(I61,Listas!$I$12:$J$14,2,FALSE))</f>
        <v xml:space="preserve"> </v>
      </c>
      <c r="I61" s="334"/>
      <c r="J61" s="360" t="str">
        <f>+IF(K61=""," ",VLOOKUP(K61,PUC!$B:$C,2,FALSE))</f>
        <v xml:space="preserve"> </v>
      </c>
      <c r="K61" s="334"/>
      <c r="L61" s="11" t="str">
        <f>+IF(M61=""," ",VLOOKUP(M61,Listas!$F$9:$G$17,2,FALSE))</f>
        <v xml:space="preserve"> </v>
      </c>
      <c r="M61" s="348"/>
      <c r="N61" s="337"/>
      <c r="O61" s="15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7"/>
    </row>
    <row r="62" spans="1:27" s="57" customFormat="1" ht="25.5">
      <c r="A62" s="8"/>
      <c r="B62" s="11" t="str">
        <f>+IFERROR(VLOOKUP(C62,Listas!$L$8:$M$100,2,FALSE),"")</f>
        <v>10050101</v>
      </c>
      <c r="C62" s="326" t="s">
        <v>485</v>
      </c>
      <c r="D62" s="264"/>
      <c r="E62" s="265"/>
      <c r="F62" s="586"/>
      <c r="G62" s="367" t="s">
        <v>1055</v>
      </c>
      <c r="H62" s="30" t="str">
        <f>+IF(I62=""," ",VLOOKUP(I62,Listas!$I$12:$J$14,2,FALSE))</f>
        <v xml:space="preserve"> </v>
      </c>
      <c r="I62" s="334"/>
      <c r="J62" s="360" t="str">
        <f>+IF(K62=""," ",VLOOKUP(K62,PUC!$B:$C,2,FALSE))</f>
        <v xml:space="preserve"> </v>
      </c>
      <c r="K62" s="334"/>
      <c r="L62" s="11" t="str">
        <f>+IF(M62=""," ",VLOOKUP(M62,Listas!$F$9:$G$17,2,FALSE))</f>
        <v xml:space="preserve"> </v>
      </c>
      <c r="M62" s="348"/>
      <c r="N62" s="337"/>
      <c r="O62" s="15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7"/>
    </row>
    <row r="63" spans="1:27" s="57" customFormat="1" ht="38.25">
      <c r="A63" s="8"/>
      <c r="B63" s="11" t="str">
        <f>+IFERROR(VLOOKUP(C63,Listas!$L$8:$M$100,2,FALSE),"")</f>
        <v>10050101</v>
      </c>
      <c r="C63" s="326" t="s">
        <v>485</v>
      </c>
      <c r="D63" s="264"/>
      <c r="E63" s="265"/>
      <c r="F63" s="586"/>
      <c r="G63" s="367" t="s">
        <v>1056</v>
      </c>
      <c r="H63" s="30" t="str">
        <f>+IF(I63=""," ",VLOOKUP(I63,Listas!$I$12:$J$14,2,FALSE))</f>
        <v xml:space="preserve"> </v>
      </c>
      <c r="I63" s="334"/>
      <c r="J63" s="360" t="str">
        <f>+IF(K63=""," ",VLOOKUP(K63,PUC!$B:$C,2,FALSE))</f>
        <v xml:space="preserve"> </v>
      </c>
      <c r="K63" s="334"/>
      <c r="L63" s="11" t="str">
        <f>+IF(M63=""," ",VLOOKUP(M63,Listas!$F$9:$G$17,2,FALSE))</f>
        <v xml:space="preserve"> </v>
      </c>
      <c r="M63" s="348"/>
      <c r="N63" s="337"/>
      <c r="O63" s="15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7"/>
    </row>
    <row r="64" spans="1:27" s="57" customFormat="1" ht="51">
      <c r="A64" s="8"/>
      <c r="B64" s="11" t="str">
        <f>+IFERROR(VLOOKUP(C64,Listas!$L$8:$M$100,2,FALSE),"")</f>
        <v>10050101</v>
      </c>
      <c r="C64" s="326" t="s">
        <v>485</v>
      </c>
      <c r="D64" s="264"/>
      <c r="E64" s="265"/>
      <c r="F64" s="586"/>
      <c r="G64" s="367" t="s">
        <v>1057</v>
      </c>
      <c r="H64" s="30" t="str">
        <f>+IF(I64=""," ",VLOOKUP(I64,Listas!$I$12:$J$14,2,FALSE))</f>
        <v xml:space="preserve"> </v>
      </c>
      <c r="I64" s="334"/>
      <c r="J64" s="360" t="str">
        <f>+IF(K64=""," ",VLOOKUP(K64,PUC!$B:$C,2,FALSE))</f>
        <v xml:space="preserve"> </v>
      </c>
      <c r="K64" s="334"/>
      <c r="L64" s="11" t="str">
        <f>+IF(M64=""," ",VLOOKUP(M64,Listas!$F$9:$G$17,2,FALSE))</f>
        <v xml:space="preserve"> </v>
      </c>
      <c r="M64" s="348"/>
      <c r="N64" s="337"/>
      <c r="O64" s="15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7"/>
    </row>
    <row r="65" spans="1:27" s="57" customFormat="1" ht="25.5">
      <c r="A65" s="8"/>
      <c r="B65" s="11" t="str">
        <f>+IFERROR(VLOOKUP(C65,Listas!$L$8:$M$100,2,FALSE),"")</f>
        <v>10050101</v>
      </c>
      <c r="C65" s="326" t="s">
        <v>485</v>
      </c>
      <c r="D65" s="264"/>
      <c r="E65" s="265"/>
      <c r="F65" s="406"/>
      <c r="G65" s="367" t="s">
        <v>1058</v>
      </c>
      <c r="H65" s="30" t="str">
        <f>+IF(I65=""," ",VLOOKUP(I65,Listas!$I$12:$J$14,2,FALSE))</f>
        <v xml:space="preserve"> </v>
      </c>
      <c r="I65" s="334"/>
      <c r="J65" s="360" t="str">
        <f>+IF(K65=""," ",VLOOKUP(K65,PUC!$B:$C,2,FALSE))</f>
        <v xml:space="preserve"> </v>
      </c>
      <c r="K65" s="334"/>
      <c r="L65" s="11" t="str">
        <f>+IF(M65=""," ",VLOOKUP(M65,Listas!$F$9:$G$17,2,FALSE))</f>
        <v xml:space="preserve"> </v>
      </c>
      <c r="M65" s="348"/>
      <c r="N65" s="337"/>
      <c r="O65" s="15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7"/>
    </row>
    <row r="66" spans="1:27" s="57" customFormat="1" ht="38.25">
      <c r="A66" s="8"/>
      <c r="B66" s="11" t="str">
        <f>+IFERROR(VLOOKUP(C66,Listas!$L$8:$M$100,2,FALSE),"")</f>
        <v>10050101</v>
      </c>
      <c r="C66" s="326" t="s">
        <v>485</v>
      </c>
      <c r="D66" s="264"/>
      <c r="E66" s="265"/>
      <c r="F66" s="558" t="s">
        <v>1059</v>
      </c>
      <c r="G66" s="367" t="s">
        <v>1060</v>
      </c>
      <c r="H66" s="30" t="str">
        <f>+IF(I66=""," ",VLOOKUP(I66,Listas!$I$12:$J$14,2,FALSE))</f>
        <v xml:space="preserve"> </v>
      </c>
      <c r="I66" s="334"/>
      <c r="J66" s="360" t="str">
        <f>+IF(K66=""," ",VLOOKUP(K66,PUC!$B:$C,2,FALSE))</f>
        <v xml:space="preserve"> </v>
      </c>
      <c r="K66" s="334"/>
      <c r="L66" s="11" t="str">
        <f>+IF(M66=""," ",VLOOKUP(M66,Listas!$F$9:$G$17,2,FALSE))</f>
        <v xml:space="preserve"> </v>
      </c>
      <c r="M66" s="348"/>
      <c r="N66" s="337"/>
      <c r="O66" s="15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7"/>
    </row>
    <row r="67" spans="1:27" s="57" customFormat="1" ht="38.25">
      <c r="A67" s="8"/>
      <c r="B67" s="11" t="str">
        <f>+IFERROR(VLOOKUP(C67,Listas!$L$8:$M$100,2,FALSE),"")</f>
        <v>10050101</v>
      </c>
      <c r="C67" s="326" t="s">
        <v>485</v>
      </c>
      <c r="D67" s="264"/>
      <c r="E67" s="265"/>
      <c r="F67" s="557"/>
      <c r="G67" s="367" t="s">
        <v>1061</v>
      </c>
      <c r="H67" s="30" t="str">
        <f>+IF(I67=""," ",VLOOKUP(I67,Listas!$I$12:$J$14,2,FALSE))</f>
        <v xml:space="preserve"> </v>
      </c>
      <c r="I67" s="334"/>
      <c r="J67" s="360" t="str">
        <f>+IF(K67=""," ",VLOOKUP(K67,PUC!$B:$C,2,FALSE))</f>
        <v xml:space="preserve"> </v>
      </c>
      <c r="K67" s="334"/>
      <c r="L67" s="11" t="str">
        <f>+IF(M67=""," ",VLOOKUP(M67,Listas!$F$9:$G$17,2,FALSE))</f>
        <v xml:space="preserve"> </v>
      </c>
      <c r="M67" s="348"/>
      <c r="N67" s="337"/>
      <c r="O67" s="15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7"/>
    </row>
    <row r="68" spans="1:27" s="57" customFormat="1" ht="25.5">
      <c r="A68" s="8"/>
      <c r="B68" s="11" t="str">
        <f>+IFERROR(VLOOKUP(C68,Listas!$L$8:$M$100,2,FALSE),"")</f>
        <v>10050101</v>
      </c>
      <c r="C68" s="326" t="s">
        <v>485</v>
      </c>
      <c r="D68" s="264"/>
      <c r="E68" s="265"/>
      <c r="F68" s="405" t="s">
        <v>1062</v>
      </c>
      <c r="G68" s="367" t="s">
        <v>1063</v>
      </c>
      <c r="H68" s="30" t="str">
        <f>+IF(I68=""," ",VLOOKUP(I68,Listas!$I$12:$J$14,2,FALSE))</f>
        <v xml:space="preserve"> </v>
      </c>
      <c r="I68" s="334"/>
      <c r="J68" s="360" t="str">
        <f>+IF(K68=""," ",VLOOKUP(K68,PUC!$B:$C,2,FALSE))</f>
        <v xml:space="preserve"> </v>
      </c>
      <c r="K68" s="334"/>
      <c r="L68" s="11" t="str">
        <f>+IF(M68=""," ",VLOOKUP(M68,Listas!$F$9:$G$17,2,FALSE))</f>
        <v xml:space="preserve"> </v>
      </c>
      <c r="M68" s="348"/>
      <c r="N68" s="337"/>
      <c r="O68" s="15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7"/>
    </row>
    <row r="69" spans="1:27" s="57" customFormat="1" ht="25.5">
      <c r="A69" s="8"/>
      <c r="B69" s="11" t="str">
        <f>+IFERROR(VLOOKUP(C69,Listas!$L$8:$M$100,2,FALSE),"")</f>
        <v>10050101</v>
      </c>
      <c r="C69" s="326" t="s">
        <v>485</v>
      </c>
      <c r="D69" s="264"/>
      <c r="E69" s="265"/>
      <c r="F69" s="407"/>
      <c r="G69" s="367" t="s">
        <v>1064</v>
      </c>
      <c r="H69" s="30" t="str">
        <f>+IF(I69=""," ",VLOOKUP(I69,Listas!$I$12:$J$14,2,FALSE))</f>
        <v xml:space="preserve"> </v>
      </c>
      <c r="I69" s="334"/>
      <c r="J69" s="360" t="str">
        <f>+IF(K69=""," ",VLOOKUP(K69,PUC!$B:$C,2,FALSE))</f>
        <v xml:space="preserve"> </v>
      </c>
      <c r="K69" s="334"/>
      <c r="L69" s="11" t="str">
        <f>+IF(M69=""," ",VLOOKUP(M69,Listas!$F$9:$G$17,2,FALSE))</f>
        <v xml:space="preserve"> </v>
      </c>
      <c r="M69" s="348"/>
      <c r="N69" s="337"/>
      <c r="O69" s="15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7"/>
    </row>
    <row r="70" spans="1:27" s="57" customFormat="1" ht="29.25" customHeight="1" thickBot="1">
      <c r="A70" s="8"/>
      <c r="B70" s="21" t="str">
        <f>+IFERROR(VLOOKUP(C70,Listas!$L$8:$M$100,2,FALSE),"")</f>
        <v>10050101</v>
      </c>
      <c r="C70" s="332" t="s">
        <v>485</v>
      </c>
      <c r="D70" s="268"/>
      <c r="E70" s="269"/>
      <c r="F70" s="268"/>
      <c r="G70" s="269"/>
      <c r="H70" s="9"/>
      <c r="I70" s="326"/>
      <c r="J70" s="10"/>
      <c r="K70" s="326"/>
      <c r="L70" s="11" t="str">
        <f>+IF(M70=""," ",VLOOKUP(M70,Listas!$F$9:$G$17,2,FALSE))</f>
        <v>03</v>
      </c>
      <c r="M70" s="348" t="s">
        <v>449</v>
      </c>
      <c r="N70" s="337"/>
      <c r="O70" s="22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4"/>
    </row>
    <row r="71" spans="1:27" s="58" customFormat="1" ht="51" customHeight="1">
      <c r="A71" s="8"/>
      <c r="B71" s="19" t="str">
        <f>+IFERROR(VLOOKUP(C71,Listas!$L$8:$M$100,2,FALSE),"")</f>
        <v>10080102</v>
      </c>
      <c r="C71" s="331" t="s">
        <v>512</v>
      </c>
      <c r="D71" s="266"/>
      <c r="E71" s="267"/>
      <c r="F71" s="585" t="s">
        <v>1065</v>
      </c>
      <c r="G71" s="368" t="s">
        <v>1066</v>
      </c>
      <c r="H71" s="18" t="str">
        <f>+IF(I71=""," ",VLOOKUP(I71,Listas!$I$8:$J$10,2,FALSE))</f>
        <v xml:space="preserve"> </v>
      </c>
      <c r="I71" s="331"/>
      <c r="J71" s="363" t="str">
        <f>+IF(K71=""," ",VLOOKUP(K71,PUC!$B:$C,2,FALSE))</f>
        <v xml:space="preserve"> </v>
      </c>
      <c r="K71" s="331"/>
      <c r="L71" s="19" t="str">
        <f>+IF(M71=""," ",VLOOKUP(M71,Listas!$F$9:$G$17,2,FALSE))</f>
        <v xml:space="preserve"> </v>
      </c>
      <c r="M71" s="349"/>
      <c r="N71" s="338"/>
      <c r="O71" s="381"/>
      <c r="P71" s="382"/>
      <c r="Q71" s="382"/>
      <c r="R71" s="382"/>
      <c r="S71" s="382"/>
      <c r="T71" s="382"/>
      <c r="U71" s="382"/>
      <c r="V71" s="382"/>
      <c r="W71" s="382"/>
      <c r="X71" s="382"/>
      <c r="Y71" s="382"/>
      <c r="Z71" s="383"/>
      <c r="AA71" s="57"/>
    </row>
    <row r="72" spans="1:27" s="58" customFormat="1" ht="29.25" customHeight="1">
      <c r="A72" s="8"/>
      <c r="B72" s="11" t="str">
        <f>+IFERROR(VLOOKUP(C72,Listas!$L$8:$M$100,2,FALSE),"")</f>
        <v>10080102</v>
      </c>
      <c r="C72" s="326" t="s">
        <v>512</v>
      </c>
      <c r="D72" s="264"/>
      <c r="E72" s="265"/>
      <c r="F72" s="586"/>
      <c r="G72" s="367" t="s">
        <v>1394</v>
      </c>
      <c r="H72" s="30" t="str">
        <f>+IF(I72=""," ",VLOOKUP(I72,Listas!$I$21:$J$23,2,FALSE))</f>
        <v>08</v>
      </c>
      <c r="I72" s="334" t="s">
        <v>772</v>
      </c>
      <c r="J72" s="360">
        <f>+IF(K72=""," ",VLOOKUP(K72,PUC!$B:$C,2,FALSE))</f>
        <v>6209020501</v>
      </c>
      <c r="K72" s="326" t="s">
        <v>1308</v>
      </c>
      <c r="L72" s="11" t="str">
        <f>+IF(M72=""," ",VLOOKUP(M72,Listas!$F$9:$G$17,2,FALSE))</f>
        <v>02</v>
      </c>
      <c r="M72" s="348" t="s">
        <v>447</v>
      </c>
      <c r="N72" s="337">
        <f>+Resumen!M41</f>
        <v>22142000</v>
      </c>
      <c r="O72" s="27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9"/>
      <c r="AA72" s="57"/>
    </row>
    <row r="73" spans="1:27" s="58" customFormat="1" ht="29.25" customHeight="1">
      <c r="A73" s="8"/>
      <c r="B73" s="31" t="str">
        <f>+IFERROR(VLOOKUP(C73,Listas!$L$8:$M$100,2,FALSE),"")</f>
        <v>10080102</v>
      </c>
      <c r="C73" s="334" t="s">
        <v>512</v>
      </c>
      <c r="D73" s="264"/>
      <c r="E73" s="265"/>
      <c r="F73" s="586"/>
      <c r="G73" s="367" t="s">
        <v>1394</v>
      </c>
      <c r="H73" s="30" t="str">
        <f>+IF(I73=""," ",VLOOKUP(I73,Listas!$I$21:$J$23,2,FALSE))</f>
        <v>08</v>
      </c>
      <c r="I73" s="334" t="s">
        <v>772</v>
      </c>
      <c r="J73" s="360">
        <f>+IF(K73=""," ",VLOOKUP(K73,PUC!$B:$C,2,FALSE))</f>
        <v>6209020505</v>
      </c>
      <c r="K73" s="326" t="s">
        <v>1309</v>
      </c>
      <c r="L73" s="11" t="str">
        <f>+IF(M73=""," ",VLOOKUP(M73,Listas!$F$9:$G$17,2,FALSE))</f>
        <v>02</v>
      </c>
      <c r="M73" s="348" t="s">
        <v>447</v>
      </c>
      <c r="N73" s="337">
        <f>+Resumen!M43</f>
        <v>1262000</v>
      </c>
      <c r="O73" s="27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9"/>
      <c r="AA73" s="57"/>
    </row>
    <row r="74" spans="1:27" s="58" customFormat="1" ht="29.25" customHeight="1">
      <c r="A74" s="8"/>
      <c r="B74" s="11" t="str">
        <f>+IFERROR(VLOOKUP(C74,Listas!$L$8:$M$100,2,FALSE),"")</f>
        <v>10080102</v>
      </c>
      <c r="C74" s="326" t="s">
        <v>512</v>
      </c>
      <c r="D74" s="264"/>
      <c r="E74" s="265"/>
      <c r="F74" s="586"/>
      <c r="G74" s="367" t="s">
        <v>1394</v>
      </c>
      <c r="H74" s="30" t="str">
        <f>+IF(I74=""," ",VLOOKUP(I74,Listas!$I$21:$J$23,2,FALSE))</f>
        <v>08</v>
      </c>
      <c r="I74" s="334" t="s">
        <v>772</v>
      </c>
      <c r="J74" s="360">
        <f>+IF(K74=""," ",VLOOKUP(K74,PUC!$B:$C,2,FALSE))</f>
        <v>6209020503</v>
      </c>
      <c r="K74" s="326" t="s">
        <v>1310</v>
      </c>
      <c r="L74" s="11" t="str">
        <f>+IF(M74=""," ",VLOOKUP(M74,Listas!$F$9:$G$17,2,FALSE))</f>
        <v>02</v>
      </c>
      <c r="M74" s="348" t="s">
        <v>447</v>
      </c>
      <c r="N74" s="337">
        <f>+Resumen!M42</f>
        <v>25200000</v>
      </c>
      <c r="O74" s="27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9"/>
      <c r="AA74" s="57"/>
    </row>
    <row r="75" spans="1:27" s="58" customFormat="1" ht="29.25" customHeight="1">
      <c r="A75" s="8"/>
      <c r="B75" s="31" t="str">
        <f>+IFERROR(VLOOKUP(C75,Listas!$L$8:$M$100,2,FALSE),"")</f>
        <v>10080102</v>
      </c>
      <c r="C75" s="334" t="s">
        <v>512</v>
      </c>
      <c r="D75" s="264"/>
      <c r="E75" s="265"/>
      <c r="F75" s="586"/>
      <c r="G75" s="367"/>
      <c r="H75" s="9" t="str">
        <f>+IF(I75=""," ",VLOOKUP(I75,Listas!$I$8:$J$10,2,FALSE))</f>
        <v xml:space="preserve"> </v>
      </c>
      <c r="I75" s="326"/>
      <c r="J75" s="360" t="str">
        <f>+IF(K75=""," ",VLOOKUP(K75,PUC!$B:$C,2,FALSE))</f>
        <v xml:space="preserve"> </v>
      </c>
      <c r="K75" s="326"/>
      <c r="L75" s="11" t="str">
        <f>+IF(M75=""," ",VLOOKUP(M75,Listas!$F$9:$G$17,2,FALSE))</f>
        <v xml:space="preserve"> </v>
      </c>
      <c r="M75" s="348"/>
      <c r="N75" s="337"/>
      <c r="O75" s="27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9"/>
      <c r="AA75" s="57"/>
    </row>
    <row r="76" spans="1:27" s="58" customFormat="1" ht="29.25" customHeight="1">
      <c r="A76" s="8"/>
      <c r="B76" s="11" t="str">
        <f>+IFERROR(VLOOKUP(C76,Listas!$L$8:$M$100,2,FALSE),"")</f>
        <v>10080102</v>
      </c>
      <c r="C76" s="326" t="s">
        <v>512</v>
      </c>
      <c r="D76" s="264"/>
      <c r="E76" s="265"/>
      <c r="F76" s="586"/>
      <c r="G76" s="367"/>
      <c r="H76" s="9" t="str">
        <f>+IF(I76=""," ",VLOOKUP(I76,Listas!$I$8:$J$10,2,FALSE))</f>
        <v xml:space="preserve"> </v>
      </c>
      <c r="I76" s="326"/>
      <c r="J76" s="360" t="str">
        <f>+IF(K76=""," ",VLOOKUP(K76,PUC!$B:$C,2,FALSE))</f>
        <v xml:space="preserve"> </v>
      </c>
      <c r="K76" s="326"/>
      <c r="L76" s="11" t="str">
        <f>+IF(M76=""," ",VLOOKUP(M76,Listas!$F$9:$G$17,2,FALSE))</f>
        <v xml:space="preserve"> </v>
      </c>
      <c r="M76" s="348"/>
      <c r="N76" s="337"/>
      <c r="O76" s="27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9"/>
      <c r="AA76" s="57"/>
    </row>
    <row r="77" spans="1:27" s="58" customFormat="1" ht="29.25" customHeight="1" thickBot="1">
      <c r="A77" s="8"/>
      <c r="B77" s="21" t="str">
        <f>+IFERROR(VLOOKUP(C77,Listas!$L$8:$M$100,2,FALSE),"")</f>
        <v>10130102</v>
      </c>
      <c r="C77" s="332" t="s">
        <v>522</v>
      </c>
      <c r="D77" s="268"/>
      <c r="E77" s="269"/>
      <c r="F77" s="268"/>
      <c r="G77" s="450" t="s">
        <v>1399</v>
      </c>
      <c r="H77" s="451" t="str">
        <f>+IF(I77=""," ",VLOOKUP(I77,Listas!$I$21:$J$23,2,FALSE))</f>
        <v>09</v>
      </c>
      <c r="I77" s="452" t="s">
        <v>1279</v>
      </c>
      <c r="J77" s="453">
        <f>+IF(K77=""," ",VLOOKUP(K77,PUC!$B:$C,2,FALSE))</f>
        <v>6209021701</v>
      </c>
      <c r="K77" s="454" t="s">
        <v>961</v>
      </c>
      <c r="L77" s="455" t="str">
        <f>+IF(M77=""," ",VLOOKUP(M77,Listas!$F$9:$G$17,2,FALSE))</f>
        <v>05</v>
      </c>
      <c r="M77" s="456" t="s">
        <v>453</v>
      </c>
      <c r="N77" s="457">
        <f>+'[2]Sede Belmonte'!$R$42</f>
        <v>1226000</v>
      </c>
      <c r="O77" s="22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4"/>
      <c r="AA77" s="57"/>
    </row>
    <row r="78" spans="1:27" s="58" customFormat="1" ht="29.25" customHeight="1">
      <c r="A78" s="8"/>
      <c r="B78" s="19" t="str">
        <f>+IFERROR(VLOOKUP(C78,Listas!$L$8:$M$100,2,FALSE),"")</f>
        <v>10140101</v>
      </c>
      <c r="C78" s="331" t="s">
        <v>523</v>
      </c>
      <c r="D78" s="266"/>
      <c r="E78" s="267"/>
      <c r="F78" s="266" t="s">
        <v>1067</v>
      </c>
      <c r="G78" s="267" t="s">
        <v>1067</v>
      </c>
      <c r="H78" s="18" t="str">
        <f>+IF(I78=""," ",VLOOKUP(I78,Listas!$I$21:$J$23,2,FALSE))</f>
        <v>08</v>
      </c>
      <c r="I78" s="331" t="s">
        <v>772</v>
      </c>
      <c r="J78" s="363">
        <f>+IF(K78=""," ",VLOOKUP(K78,PUC!$B:$C,2,FALSE))</f>
        <v>6209020303</v>
      </c>
      <c r="K78" s="331" t="s">
        <v>1391</v>
      </c>
      <c r="L78" s="19" t="str">
        <f>+IF(M78=""," ",VLOOKUP(M78,Listas!$F$9:$G$17,2,FALSE))</f>
        <v>02</v>
      </c>
      <c r="M78" s="349" t="s">
        <v>447</v>
      </c>
      <c r="N78" s="338">
        <f>+Resumen!M44</f>
        <v>15117000</v>
      </c>
      <c r="O78" s="381"/>
      <c r="P78" s="382"/>
      <c r="Q78" s="382"/>
      <c r="R78" s="382"/>
      <c r="S78" s="382"/>
      <c r="T78" s="382"/>
      <c r="U78" s="382"/>
      <c r="V78" s="382"/>
      <c r="W78" s="382"/>
      <c r="X78" s="382"/>
      <c r="Y78" s="382"/>
      <c r="Z78" s="383"/>
      <c r="AA78" s="57"/>
    </row>
    <row r="79" spans="1:27" s="58" customFormat="1" ht="29.25" customHeight="1" thickBot="1">
      <c r="A79" s="8"/>
      <c r="B79" s="384" t="str">
        <f>+IFERROR(VLOOKUP(C79,Listas!$L$8:$M$100,2,FALSE),"")</f>
        <v>10140101</v>
      </c>
      <c r="C79" s="332" t="s">
        <v>523</v>
      </c>
      <c r="D79" s="268"/>
      <c r="E79" s="269"/>
      <c r="F79" s="268"/>
      <c r="G79" s="269"/>
      <c r="H79" s="20" t="str">
        <f>+IF(I79=""," ",VLOOKUP(I79,Listas!$I$8:$J$10,2,FALSE))</f>
        <v xml:space="preserve"> </v>
      </c>
      <c r="I79" s="332"/>
      <c r="J79" s="364" t="str">
        <f>+IF(K79=""," ",VLOOKUP(K79,PUC!$B:$C,2,FALSE))</f>
        <v xml:space="preserve"> </v>
      </c>
      <c r="K79" s="332"/>
      <c r="L79" s="21" t="str">
        <f>+IF(M79=""," ",VLOOKUP(M79,Listas!$F$9:$G$17,2,FALSE))</f>
        <v xml:space="preserve"> </v>
      </c>
      <c r="M79" s="350"/>
      <c r="N79" s="339"/>
      <c r="O79" s="22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4"/>
      <c r="AA79" s="57"/>
    </row>
    <row r="80" spans="1:27" s="58" customFormat="1" ht="29.25" customHeight="1">
      <c r="A80" s="8"/>
      <c r="B80" s="31" t="str">
        <f>+IFERROR(VLOOKUP(C80,Listas!$L$8:$M$100,2,FALSE),"")</f>
        <v>03010102</v>
      </c>
      <c r="C80" s="334" t="s">
        <v>624</v>
      </c>
      <c r="D80" s="272"/>
      <c r="E80" s="273"/>
      <c r="F80" s="272"/>
      <c r="G80" s="385" t="s">
        <v>1068</v>
      </c>
      <c r="H80" s="30" t="str">
        <f>+IF(I80=""," ",VLOOKUP(I80,Listas!$I$21:$J$23,2,FALSE))</f>
        <v>08</v>
      </c>
      <c r="I80" s="334" t="s">
        <v>772</v>
      </c>
      <c r="J80" s="362">
        <f>+IF(K80=""," ",VLOOKUP(K80,PUC!$B:$C,2,FALSE))</f>
        <v>5395959501</v>
      </c>
      <c r="K80" s="334" t="s">
        <v>750</v>
      </c>
      <c r="L80" s="31" t="str">
        <f>+IF(M80=""," ",VLOOKUP(M80,Listas!$F$9:$G$17,2,FALSE))</f>
        <v>02</v>
      </c>
      <c r="M80" s="352" t="s">
        <v>447</v>
      </c>
      <c r="N80" s="336">
        <f>+Resumen!M60</f>
        <v>27268000</v>
      </c>
      <c r="O80" s="378"/>
      <c r="P80" s="379"/>
      <c r="Q80" s="379"/>
      <c r="R80" s="379"/>
      <c r="S80" s="379"/>
      <c r="T80" s="379"/>
      <c r="U80" s="379"/>
      <c r="V80" s="379"/>
      <c r="W80" s="379"/>
      <c r="X80" s="379"/>
      <c r="Y80" s="379"/>
      <c r="Z80" s="380"/>
      <c r="AA80" s="57"/>
    </row>
    <row r="81" spans="1:27" s="58" customFormat="1" ht="29.25" customHeight="1">
      <c r="A81" s="8"/>
      <c r="B81" s="31" t="str">
        <f>+IFERROR(VLOOKUP(C81,Listas!$L$8:$M$100,2,FALSE),"")</f>
        <v>03010102</v>
      </c>
      <c r="C81" s="326" t="s">
        <v>624</v>
      </c>
      <c r="D81" s="264"/>
      <c r="E81" s="265"/>
      <c r="F81" s="264"/>
      <c r="G81" s="386" t="s">
        <v>1069</v>
      </c>
      <c r="H81" s="30" t="str">
        <f>+IF(I81=""," ",VLOOKUP(I81,Listas!$I$21:$J$23,2,FALSE))</f>
        <v>08</v>
      </c>
      <c r="I81" s="334" t="s">
        <v>772</v>
      </c>
      <c r="J81" s="360">
        <f>+IF(K81=""," ",VLOOKUP(K81,PUC!$B:$C,2,FALSE))</f>
        <v>6209080101</v>
      </c>
      <c r="K81" s="326" t="s">
        <v>1319</v>
      </c>
      <c r="L81" s="11" t="str">
        <f>+IF(M81=""," ",VLOOKUP(M81,Listas!$F$9:$G$17,2,FALSE))</f>
        <v>05</v>
      </c>
      <c r="M81" s="348" t="s">
        <v>453</v>
      </c>
      <c r="N81" s="337">
        <f>+Resumen!M59</f>
        <v>3395000</v>
      </c>
      <c r="O81" s="27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9"/>
      <c r="AA81" s="57" t="e">
        <f>IF(I81="Gastos Posgrados",GtosPos,IF(I81="Inversión",Inversiones,InverPos))</f>
        <v>#VALUE!</v>
      </c>
    </row>
    <row r="82" spans="1:27" s="58" customFormat="1" ht="29.25" customHeight="1">
      <c r="A82" s="8"/>
      <c r="B82" s="11" t="str">
        <f>+IFERROR(VLOOKUP(C82,Listas!$L$8:$M$100,2,FALSE),"")</f>
        <v>03010102</v>
      </c>
      <c r="C82" s="326" t="s">
        <v>624</v>
      </c>
      <c r="D82" s="264"/>
      <c r="E82" s="265"/>
      <c r="F82" s="264"/>
      <c r="G82" s="386" t="s">
        <v>1070</v>
      </c>
      <c r="H82" s="30" t="str">
        <f>+IF(I82=""," ",VLOOKUP(I82,Listas!$I$21:$J$23,2,FALSE))</f>
        <v>08</v>
      </c>
      <c r="I82" s="334" t="s">
        <v>772</v>
      </c>
      <c r="J82" s="360">
        <f>+IF(K82=""," ",VLOOKUP(K82,PUC!$B:$C,2,FALSE))</f>
        <v>6209021007</v>
      </c>
      <c r="K82" s="326" t="s">
        <v>1350</v>
      </c>
      <c r="L82" s="11" t="str">
        <f>+IF(M82=""," ",VLOOKUP(M82,Listas!$F$9:$G$17,2,FALSE))</f>
        <v>02</v>
      </c>
      <c r="M82" s="348" t="s">
        <v>447</v>
      </c>
      <c r="N82" s="337"/>
      <c r="O82" s="27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9"/>
      <c r="AA82" s="57"/>
    </row>
    <row r="83" spans="1:27" s="58" customFormat="1" ht="29.25" customHeight="1">
      <c r="A83" s="8"/>
      <c r="B83" s="31" t="str">
        <f>+IFERROR(VLOOKUP(C83,Listas!$L$8:$M$100,2,FALSE),"")</f>
        <v>03010102</v>
      </c>
      <c r="C83" s="326" t="s">
        <v>624</v>
      </c>
      <c r="D83" s="264"/>
      <c r="E83" s="265"/>
      <c r="F83" s="264"/>
      <c r="G83" s="386" t="s">
        <v>1071</v>
      </c>
      <c r="H83" s="30" t="str">
        <f>+IF(I83=""," ",VLOOKUP(I83,Listas!$I$21:$J$23,2,FALSE))</f>
        <v>08</v>
      </c>
      <c r="I83" s="334" t="s">
        <v>772</v>
      </c>
      <c r="J83" s="360">
        <f>+IF(K83=""," ",VLOOKUP(K83,PUC!$B:$C,2,FALSE))</f>
        <v>6209020401</v>
      </c>
      <c r="K83" s="326" t="s">
        <v>1375</v>
      </c>
      <c r="L83" s="11" t="str">
        <f>+IF(M83=""," ",VLOOKUP(M83,Listas!$F$9:$G$17,2,FALSE))</f>
        <v>05</v>
      </c>
      <c r="M83" s="348" t="s">
        <v>453</v>
      </c>
      <c r="N83" s="337">
        <f>+Resumen!M47</f>
        <v>644000</v>
      </c>
      <c r="O83" s="27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9"/>
      <c r="AA83" s="57"/>
    </row>
    <row r="84" spans="1:27" s="58" customFormat="1" ht="29.25" customHeight="1">
      <c r="A84" s="8"/>
      <c r="B84" s="11" t="str">
        <f>+IFERROR(VLOOKUP(C84,Listas!$L$8:$M$100,2,FALSE),"")</f>
        <v>03010102</v>
      </c>
      <c r="C84" s="326" t="s">
        <v>624</v>
      </c>
      <c r="D84" s="264"/>
      <c r="E84" s="265"/>
      <c r="F84" s="264"/>
      <c r="G84" s="386" t="s">
        <v>1072</v>
      </c>
      <c r="H84" s="30" t="str">
        <f>+IF(I84=""," ",VLOOKUP(I84,Listas!$I$21:$J$23,2,FALSE))</f>
        <v>08</v>
      </c>
      <c r="I84" s="334" t="s">
        <v>772</v>
      </c>
      <c r="J84" s="360">
        <f>+IF(K84=""," ",VLOOKUP(K84,PUC!$B:$C,2,FALSE))</f>
        <v>6209020402</v>
      </c>
      <c r="K84" s="326" t="s">
        <v>1374</v>
      </c>
      <c r="L84" s="11" t="str">
        <f>+IF(M84=""," ",VLOOKUP(M84,Listas!$F$9:$G$17,2,FALSE))</f>
        <v>05</v>
      </c>
      <c r="M84" s="348" t="s">
        <v>453</v>
      </c>
      <c r="N84" s="337">
        <f>+Resumen!M48</f>
        <v>1288000</v>
      </c>
      <c r="O84" s="27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9"/>
      <c r="AA84" s="57"/>
    </row>
    <row r="85" spans="1:27" s="58" customFormat="1" ht="29.25" customHeight="1">
      <c r="A85" s="8"/>
      <c r="B85" s="11" t="str">
        <f>+IFERROR(VLOOKUP(C85,Listas!$L$8:$M$100,2,FALSE),"")</f>
        <v>03010102</v>
      </c>
      <c r="C85" s="326" t="s">
        <v>624</v>
      </c>
      <c r="D85" s="264"/>
      <c r="E85" s="265"/>
      <c r="F85" s="264"/>
      <c r="G85" s="386" t="s">
        <v>1073</v>
      </c>
      <c r="H85" s="30" t="str">
        <f>+IF(I85=""," ",VLOOKUP(I85,Listas!$I$21:$J$23,2,FALSE))</f>
        <v>08</v>
      </c>
      <c r="I85" s="334" t="s">
        <v>772</v>
      </c>
      <c r="J85" s="360">
        <f>+IF(K85=""," ",VLOOKUP(K85,PUC!$B:$C,2,FALSE))</f>
        <v>6209020403</v>
      </c>
      <c r="K85" s="326" t="s">
        <v>1376</v>
      </c>
      <c r="L85" s="11" t="str">
        <f>+IF(M85=""," ",VLOOKUP(M85,Listas!$F$9:$G$17,2,FALSE))</f>
        <v>05</v>
      </c>
      <c r="M85" s="348" t="s">
        <v>453</v>
      </c>
      <c r="N85" s="337">
        <f>+Resumen!M49</f>
        <v>3220000</v>
      </c>
      <c r="O85" s="27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9"/>
      <c r="AA85" s="57"/>
    </row>
    <row r="86" spans="1:27" s="58" customFormat="1" ht="29.25" customHeight="1">
      <c r="A86" s="8"/>
      <c r="B86" s="11" t="str">
        <f>+IFERROR(VLOOKUP(C86,Listas!$L$8:$M$100,2,FALSE),"")</f>
        <v>03010102</v>
      </c>
      <c r="C86" s="326" t="s">
        <v>624</v>
      </c>
      <c r="D86" s="264"/>
      <c r="E86" s="265"/>
      <c r="F86" s="264"/>
      <c r="G86" s="386" t="s">
        <v>1074</v>
      </c>
      <c r="H86" s="30" t="str">
        <f>+IF(I86=""," ",VLOOKUP(I86,Listas!$I$21:$J$23,2,FALSE))</f>
        <v>08</v>
      </c>
      <c r="I86" s="334" t="s">
        <v>772</v>
      </c>
      <c r="J86" s="360">
        <f>+IF(K86=""," ",VLOOKUP(K86,PUC!$B:$C,2,FALSE))</f>
        <v>6209020404</v>
      </c>
      <c r="K86" s="326" t="s">
        <v>1379</v>
      </c>
      <c r="L86" s="11" t="str">
        <f>+IF(M86=""," ",VLOOKUP(M86,Listas!$F$9:$G$17,2,FALSE))</f>
        <v>05</v>
      </c>
      <c r="M86" s="348" t="s">
        <v>453</v>
      </c>
      <c r="N86" s="337">
        <f>+Resumen!M50</f>
        <v>2147000</v>
      </c>
      <c r="O86" s="27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9"/>
      <c r="AA86" s="57"/>
    </row>
    <row r="87" spans="1:27" s="58" customFormat="1" ht="29.25" customHeight="1">
      <c r="A87" s="8"/>
      <c r="B87" s="11" t="str">
        <f>+IFERROR(VLOOKUP(C87,Listas!$L$8:$M$100,2,FALSE),"")</f>
        <v>03010102</v>
      </c>
      <c r="C87" s="326" t="s">
        <v>624</v>
      </c>
      <c r="D87" s="264"/>
      <c r="E87" s="265"/>
      <c r="F87" s="264"/>
      <c r="G87" s="386" t="s">
        <v>1075</v>
      </c>
      <c r="H87" s="30" t="str">
        <f>+IF(I87=""," ",VLOOKUP(I87,Listas!$I$21:$J$23,2,FALSE))</f>
        <v>08</v>
      </c>
      <c r="I87" s="334" t="s">
        <v>772</v>
      </c>
      <c r="J87" s="360">
        <f>+IF(K87=""," ",VLOOKUP(K87,PUC!$B:$C,2,FALSE))</f>
        <v>6209020405</v>
      </c>
      <c r="K87" s="326" t="s">
        <v>1380</v>
      </c>
      <c r="L87" s="11" t="str">
        <f>+IF(M87=""," ",VLOOKUP(M87,Listas!$F$9:$G$17,2,FALSE))</f>
        <v>05</v>
      </c>
      <c r="M87" s="348" t="s">
        <v>453</v>
      </c>
      <c r="N87" s="337">
        <f>+Resumen!M51</f>
        <v>644000</v>
      </c>
      <c r="O87" s="27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9"/>
      <c r="AA87" s="57"/>
    </row>
    <row r="88" spans="1:27" s="58" customFormat="1" ht="29.25" customHeight="1">
      <c r="A88" s="8"/>
      <c r="B88" s="11" t="str">
        <f>+IFERROR(VLOOKUP(C88,Listas!$L$8:$M$100,2,FALSE),"")</f>
        <v>03010102</v>
      </c>
      <c r="C88" s="326" t="s">
        <v>624</v>
      </c>
      <c r="D88" s="264"/>
      <c r="E88" s="265"/>
      <c r="F88" s="264"/>
      <c r="G88" s="386" t="s">
        <v>1078</v>
      </c>
      <c r="H88" s="30" t="str">
        <f>+IF(I88=""," ",VLOOKUP(I88,Listas!$I$21:$J$23,2,FALSE))</f>
        <v>08</v>
      </c>
      <c r="I88" s="334" t="s">
        <v>772</v>
      </c>
      <c r="J88" s="360">
        <f>+IF(K88=""," ",VLOOKUP(K88,PUC!$B:$C,2,FALSE))</f>
        <v>6209020406</v>
      </c>
      <c r="K88" s="326" t="s">
        <v>1378</v>
      </c>
      <c r="L88" s="11" t="str">
        <f>+IF(M88=""," ",VLOOKUP(M88,Listas!$F$9:$G$17,2,FALSE))</f>
        <v>05</v>
      </c>
      <c r="M88" s="348" t="s">
        <v>453</v>
      </c>
      <c r="N88" s="337">
        <f>+Resumen!M52</f>
        <v>3220000</v>
      </c>
      <c r="O88" s="27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9"/>
      <c r="AA88" s="57"/>
    </row>
    <row r="89" spans="1:27" s="58" customFormat="1" ht="29.25" customHeight="1">
      <c r="A89" s="8"/>
      <c r="B89" s="11" t="str">
        <f>+IFERROR(VLOOKUP(C89,Listas!$L$8:$M$100,2,FALSE),"")</f>
        <v>03010102</v>
      </c>
      <c r="C89" s="326" t="s">
        <v>624</v>
      </c>
      <c r="D89" s="264"/>
      <c r="E89" s="265"/>
      <c r="F89" s="264"/>
      <c r="G89" s="386" t="s">
        <v>1076</v>
      </c>
      <c r="H89" s="30" t="str">
        <f>+IF(I89=""," ",VLOOKUP(I89,Listas!$I$21:$J$23,2,FALSE))</f>
        <v>08</v>
      </c>
      <c r="I89" s="334" t="s">
        <v>772</v>
      </c>
      <c r="J89" s="360">
        <f>+IF(K89=""," ",VLOOKUP(K89,PUC!$B:$C,2,FALSE))</f>
        <v>6209021001</v>
      </c>
      <c r="K89" s="326" t="s">
        <v>1349</v>
      </c>
      <c r="L89" s="11" t="str">
        <f>+IF(M89=""," ",VLOOKUP(M89,Listas!$F$9:$G$17,2,FALSE))</f>
        <v>05</v>
      </c>
      <c r="M89" s="348" t="s">
        <v>453</v>
      </c>
      <c r="N89" s="337">
        <f>+Resumen!M53</f>
        <v>537000</v>
      </c>
      <c r="O89" s="27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9"/>
      <c r="AA89" s="57"/>
    </row>
    <row r="90" spans="1:27" s="58" customFormat="1" ht="29.25" customHeight="1">
      <c r="A90" s="8"/>
      <c r="B90" s="11" t="str">
        <f>+IFERROR(VLOOKUP(C90,Listas!$L$8:$M$100,2,FALSE),"")</f>
        <v>03010102</v>
      </c>
      <c r="C90" s="326" t="s">
        <v>624</v>
      </c>
      <c r="D90" s="264"/>
      <c r="E90" s="265"/>
      <c r="F90" s="264"/>
      <c r="G90" s="386" t="s">
        <v>1077</v>
      </c>
      <c r="H90" s="30" t="str">
        <f>+IF(I90=""," ",VLOOKUP(I90,Listas!$I$21:$J$23,2,FALSE))</f>
        <v>08</v>
      </c>
      <c r="I90" s="334" t="s">
        <v>772</v>
      </c>
      <c r="J90" s="360">
        <f>+IF(K90=""," ",VLOOKUP(K90,PUC!$B:$C,2,FALSE))</f>
        <v>6209022001</v>
      </c>
      <c r="K90" s="326" t="s">
        <v>1306</v>
      </c>
      <c r="L90" s="11" t="str">
        <f>+IF(M90=""," ",VLOOKUP(M90,Listas!$F$9:$G$17,2,FALSE))</f>
        <v>05</v>
      </c>
      <c r="M90" s="348" t="s">
        <v>453</v>
      </c>
      <c r="N90" s="337">
        <f>+Resumen!M54</f>
        <v>859000</v>
      </c>
      <c r="O90" s="27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9"/>
      <c r="AA90" s="57"/>
    </row>
    <row r="91" spans="1:27" s="58" customFormat="1" ht="29.25" customHeight="1">
      <c r="A91" s="8"/>
      <c r="B91" s="11" t="str">
        <f>+IFERROR(VLOOKUP(C91,Listas!$L$8:$M$100,2,FALSE),"")</f>
        <v>03010102</v>
      </c>
      <c r="C91" s="326" t="s">
        <v>624</v>
      </c>
      <c r="D91" s="264"/>
      <c r="E91" s="265"/>
      <c r="F91" s="264"/>
      <c r="G91" s="387" t="s">
        <v>1079</v>
      </c>
      <c r="H91" s="30" t="str">
        <f>+IF(I91=""," ",VLOOKUP(I91,Listas!$I$21:$J$23,2,FALSE))</f>
        <v>08</v>
      </c>
      <c r="I91" s="334" t="s">
        <v>772</v>
      </c>
      <c r="J91" s="360">
        <f>+IF(K91=""," ",VLOOKUP(K91,PUC!$B:$C,2,FALSE))</f>
        <v>6209020309</v>
      </c>
      <c r="K91" s="326" t="s">
        <v>1392</v>
      </c>
      <c r="L91" s="11" t="str">
        <f>+IF(M91=""," ",VLOOKUP(M91,Listas!$F$9:$G$17,2,FALSE))</f>
        <v>05</v>
      </c>
      <c r="M91" s="348" t="s">
        <v>453</v>
      </c>
      <c r="N91" s="337">
        <f>+Resumen!M55</f>
        <v>21469000</v>
      </c>
      <c r="O91" s="27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9"/>
      <c r="AA91" s="57"/>
    </row>
    <row r="92" spans="1:27" s="58" customFormat="1" ht="29.25" customHeight="1">
      <c r="A92" s="8"/>
      <c r="B92" s="11" t="str">
        <f>+IFERROR(VLOOKUP(C92,Listas!$L$8:$M$100,2,FALSE),"")</f>
        <v>03010102</v>
      </c>
      <c r="C92" s="326" t="s">
        <v>624</v>
      </c>
      <c r="D92" s="264"/>
      <c r="E92" s="265"/>
      <c r="F92" s="264"/>
      <c r="G92" s="387" t="s">
        <v>1080</v>
      </c>
      <c r="H92" s="30" t="str">
        <f>+IF(I92=""," ",VLOOKUP(I92,Listas!$I$21:$J$23,2,FALSE))</f>
        <v>08</v>
      </c>
      <c r="I92" s="334" t="s">
        <v>772</v>
      </c>
      <c r="J92" s="360">
        <f>+IF(K92=""," ",VLOOKUP(K92,PUC!$B:$C,2,FALSE))</f>
        <v>6209021402</v>
      </c>
      <c r="K92" s="326" t="s">
        <v>1372</v>
      </c>
      <c r="L92" s="11" t="str">
        <f>+IF(M92=""," ",VLOOKUP(M92,Listas!$F$9:$G$17,2,FALSE))</f>
        <v>05</v>
      </c>
      <c r="M92" s="348" t="s">
        <v>453</v>
      </c>
      <c r="N92" s="337">
        <f>+Resumen!M56</f>
        <v>10734000</v>
      </c>
      <c r="O92" s="27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9"/>
      <c r="AA92" s="57"/>
    </row>
    <row r="93" spans="1:27" s="58" customFormat="1" ht="29.25" customHeight="1">
      <c r="A93" s="8"/>
      <c r="B93" s="11" t="str">
        <f>+IFERROR(VLOOKUP(C93,Listas!$L$8:$M$100,2,FALSE),"")</f>
        <v>03010102</v>
      </c>
      <c r="C93" s="326" t="s">
        <v>624</v>
      </c>
      <c r="D93" s="264"/>
      <c r="E93" s="265"/>
      <c r="F93" s="264"/>
      <c r="G93" s="265"/>
      <c r="H93" s="9" t="str">
        <f>+IF(I93=""," ",VLOOKUP(I93,Listas!$I$8:$J$10,2,FALSE))</f>
        <v xml:space="preserve"> </v>
      </c>
      <c r="I93" s="326"/>
      <c r="J93" s="360" t="str">
        <f>+IF(K93=""," ",VLOOKUP(K93,PUC!$B:$C,2,FALSE))</f>
        <v xml:space="preserve"> </v>
      </c>
      <c r="K93" s="326"/>
      <c r="L93" s="11" t="str">
        <f>+IF(M93=""," ",VLOOKUP(M93,Listas!$F$9:$G$17,2,FALSE))</f>
        <v xml:space="preserve"> </v>
      </c>
      <c r="M93" s="348"/>
      <c r="N93" s="337"/>
      <c r="O93" s="27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9"/>
      <c r="AA93" s="57"/>
    </row>
    <row r="94" spans="1:27" s="58" customFormat="1" ht="29.25" customHeight="1">
      <c r="A94" s="8"/>
      <c r="B94" s="11" t="str">
        <f>+IFERROR(VLOOKUP(C94,Listas!$L$8:$M$100,2,FALSE),"")</f>
        <v>03010102</v>
      </c>
      <c r="C94" s="326" t="s">
        <v>624</v>
      </c>
      <c r="D94" s="264"/>
      <c r="E94" s="265"/>
      <c r="F94" s="264"/>
      <c r="G94" s="265"/>
      <c r="H94" s="9" t="str">
        <f>+IF(I94=""," ",VLOOKUP(I94,Listas!$I$8:$J$10,2,FALSE))</f>
        <v xml:space="preserve"> </v>
      </c>
      <c r="I94" s="326"/>
      <c r="J94" s="360" t="str">
        <f>+IF(K94=""," ",VLOOKUP(K94,PUC!$B:$C,2,FALSE))</f>
        <v xml:space="preserve"> </v>
      </c>
      <c r="K94" s="326"/>
      <c r="L94" s="11" t="str">
        <f>+IF(M94=""," ",VLOOKUP(M94,Listas!$F$9:$G$17,2,FALSE))</f>
        <v xml:space="preserve"> </v>
      </c>
      <c r="M94" s="348"/>
      <c r="N94" s="337"/>
      <c r="O94" s="27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9"/>
      <c r="AA94" s="57"/>
    </row>
    <row r="95" spans="1:27" s="58" customFormat="1" ht="29.25" customHeight="1">
      <c r="A95" s="8"/>
      <c r="B95" s="11" t="str">
        <f>+IFERROR(VLOOKUP(C95,Listas!$L$8:$M$100,2,FALSE),"")</f>
        <v>03010102</v>
      </c>
      <c r="C95" s="326" t="s">
        <v>624</v>
      </c>
      <c r="D95" s="264"/>
      <c r="E95" s="265"/>
      <c r="F95" s="264"/>
      <c r="G95" s="265"/>
      <c r="H95" s="9" t="str">
        <f>+IF(I95=""," ",VLOOKUP(I95,Listas!$I$8:$J$10,2,FALSE))</f>
        <v xml:space="preserve"> </v>
      </c>
      <c r="I95" s="326"/>
      <c r="J95" s="360" t="str">
        <f>+IF(K95=""," ",VLOOKUP(K95,PUC!$B:$C,2,FALSE))</f>
        <v xml:space="preserve"> </v>
      </c>
      <c r="K95" s="326"/>
      <c r="L95" s="11" t="str">
        <f>+IF(M95=""," ",VLOOKUP(M95,Listas!$F$9:$G$17,2,FALSE))</f>
        <v xml:space="preserve"> </v>
      </c>
      <c r="M95" s="348"/>
      <c r="N95" s="337"/>
      <c r="O95" s="27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9"/>
      <c r="AA95" s="57"/>
    </row>
    <row r="96" spans="1:27" s="58" customFormat="1" ht="29.25" customHeight="1">
      <c r="A96" s="8"/>
      <c r="B96" s="11" t="str">
        <f>+IFERROR(VLOOKUP(C96,Listas!$L$8:$M$100,2,FALSE),"")</f>
        <v>03010102</v>
      </c>
      <c r="C96" s="326" t="s">
        <v>624</v>
      </c>
      <c r="D96" s="264"/>
      <c r="E96" s="265"/>
      <c r="F96" s="264"/>
      <c r="G96" s="387" t="s">
        <v>1272</v>
      </c>
      <c r="H96" s="30" t="str">
        <f>+IF(I96=""," ",VLOOKUP(I96,Listas!$I$21:$J$23,2,FALSE))</f>
        <v>08</v>
      </c>
      <c r="I96" s="334" t="s">
        <v>772</v>
      </c>
      <c r="J96" s="360" t="s">
        <v>1213</v>
      </c>
      <c r="K96" s="326" t="s">
        <v>1214</v>
      </c>
      <c r="L96" s="11" t="str">
        <f>+IF(M96=""," ",VLOOKUP(M96,Listas!$F$9:$G$17,2,FALSE))</f>
        <v>05</v>
      </c>
      <c r="M96" s="348" t="s">
        <v>453</v>
      </c>
      <c r="N96" s="337">
        <f>+Resumen!M32-6000000</f>
        <v>36000000</v>
      </c>
      <c r="O96" s="27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9"/>
      <c r="AA96" s="57"/>
    </row>
    <row r="97" spans="1:29" s="58" customFormat="1" ht="29.25" customHeight="1">
      <c r="A97" s="8"/>
      <c r="B97" s="11" t="str">
        <f>+IFERROR(VLOOKUP(C97,Listas!$L$8:$M$100,2,FALSE),"")</f>
        <v>03010102</v>
      </c>
      <c r="C97" s="326" t="s">
        <v>624</v>
      </c>
      <c r="D97" s="264"/>
      <c r="E97" s="265"/>
      <c r="F97" s="264"/>
      <c r="G97" s="387" t="s">
        <v>1273</v>
      </c>
      <c r="H97" s="30" t="str">
        <f>+IF(I97=""," ",VLOOKUP(I97,Listas!$I$21:$J$23,2,FALSE))</f>
        <v>08</v>
      </c>
      <c r="I97" s="334" t="s">
        <v>772</v>
      </c>
      <c r="J97" s="360" t="s">
        <v>1213</v>
      </c>
      <c r="K97" s="326" t="s">
        <v>1214</v>
      </c>
      <c r="L97" s="11" t="str">
        <f>+IF(M97=""," ",VLOOKUP(M97,Listas!$F$9:$G$17,2,FALSE))</f>
        <v>02</v>
      </c>
      <c r="M97" s="348" t="s">
        <v>447</v>
      </c>
      <c r="N97" s="337">
        <f>+Resumen!M33</f>
        <v>89873000</v>
      </c>
      <c r="O97" s="27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9"/>
      <c r="AA97" s="57"/>
    </row>
    <row r="98" spans="1:29" s="58" customFormat="1" ht="29.25" customHeight="1">
      <c r="A98" s="8"/>
      <c r="B98" s="11" t="str">
        <f>+IFERROR(VLOOKUP(C98,Listas!$L$8:$M$100,2,FALSE),"")</f>
        <v>03010102</v>
      </c>
      <c r="C98" s="326" t="s">
        <v>624</v>
      </c>
      <c r="D98" s="264"/>
      <c r="E98" s="265"/>
      <c r="F98" s="264"/>
      <c r="G98" s="387" t="s">
        <v>1274</v>
      </c>
      <c r="H98" s="30" t="str">
        <f>+IF(I98=""," ",VLOOKUP(I98,Listas!$I$21:$J$23,2,FALSE))</f>
        <v>08</v>
      </c>
      <c r="I98" s="334" t="s">
        <v>772</v>
      </c>
      <c r="J98" s="360" t="s">
        <v>1215</v>
      </c>
      <c r="K98" s="326" t="s">
        <v>1216</v>
      </c>
      <c r="L98" s="11" t="str">
        <f>+IF(M98=""," ",VLOOKUP(M98,Listas!$F$9:$G$17,2,FALSE))</f>
        <v>02</v>
      </c>
      <c r="M98" s="348" t="s">
        <v>447</v>
      </c>
      <c r="N98" s="337">
        <f>+Resumen!M34</f>
        <v>24888000</v>
      </c>
      <c r="O98" s="27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9"/>
      <c r="AA98" s="57"/>
    </row>
    <row r="99" spans="1:29" s="58" customFormat="1" ht="29.25" customHeight="1">
      <c r="A99" s="8"/>
      <c r="B99" s="11" t="str">
        <f>+IFERROR(VLOOKUP(C99,Listas!$L$8:$M$100,2,FALSE),"")</f>
        <v>03010102</v>
      </c>
      <c r="C99" s="326" t="s">
        <v>624</v>
      </c>
      <c r="D99" s="264"/>
      <c r="E99" s="265"/>
      <c r="F99" s="264"/>
      <c r="G99" s="387" t="s">
        <v>1275</v>
      </c>
      <c r="H99" s="30" t="str">
        <f>+IF(I99=""," ",VLOOKUP(I99,Listas!$I$21:$J$23,2,FALSE))</f>
        <v>08</v>
      </c>
      <c r="I99" s="334" t="s">
        <v>772</v>
      </c>
      <c r="J99" s="360">
        <v>6209030202</v>
      </c>
      <c r="K99" s="326" t="s">
        <v>1216</v>
      </c>
      <c r="L99" s="11" t="str">
        <f>+IF(M99=""," ",VLOOKUP(M99,Listas!$F$9:$G$17,2,FALSE))</f>
        <v>02</v>
      </c>
      <c r="M99" s="348" t="s">
        <v>447</v>
      </c>
      <c r="N99" s="337">
        <f>+Resumen!M35</f>
        <v>13826000</v>
      </c>
      <c r="O99" s="27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9"/>
      <c r="AA99" s="57"/>
    </row>
    <row r="100" spans="1:29" s="58" customFormat="1" ht="29.25" customHeight="1">
      <c r="A100" s="8"/>
      <c r="B100" s="11" t="str">
        <f>+IFERROR(VLOOKUP(C100,Listas!$L$8:$M$100,2,FALSE),"")</f>
        <v>03010102</v>
      </c>
      <c r="C100" s="326" t="s">
        <v>624</v>
      </c>
      <c r="D100" s="264"/>
      <c r="E100" s="265"/>
      <c r="F100" s="264"/>
      <c r="G100" s="387" t="s">
        <v>1276</v>
      </c>
      <c r="H100" s="30" t="str">
        <f>+IF(I100=""," ",VLOOKUP(I100,Listas!$I$21:$J$23,2,FALSE))</f>
        <v>08</v>
      </c>
      <c r="I100" s="334" t="s">
        <v>772</v>
      </c>
      <c r="J100" s="360" t="s">
        <v>1217</v>
      </c>
      <c r="K100" s="326" t="s">
        <v>1216</v>
      </c>
      <c r="L100" s="11" t="str">
        <f>+IF(M100=""," ",VLOOKUP(M100,Listas!$F$9:$G$17,2,FALSE))</f>
        <v>02</v>
      </c>
      <c r="M100" s="348" t="s">
        <v>447</v>
      </c>
      <c r="N100" s="337">
        <f>+Resumen!M36</f>
        <v>5530000</v>
      </c>
      <c r="O100" s="27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9"/>
      <c r="AA100" s="57"/>
    </row>
    <row r="101" spans="1:29" s="58" customFormat="1" ht="29.25" customHeight="1">
      <c r="A101" s="8"/>
      <c r="B101" s="11" t="str">
        <f>+IFERROR(VLOOKUP(C101,Listas!$L$8:$M$100,2,FALSE),"")</f>
        <v>03010102</v>
      </c>
      <c r="C101" s="326" t="s">
        <v>624</v>
      </c>
      <c r="D101" s="264"/>
      <c r="E101" s="265"/>
      <c r="F101" s="264"/>
      <c r="G101" s="265"/>
      <c r="H101" s="9" t="str">
        <f>+IF(I101=""," ",VLOOKUP(I101,Listas!$I$8:$J$10,2,FALSE))</f>
        <v xml:space="preserve"> </v>
      </c>
      <c r="I101" s="326"/>
      <c r="J101" s="360" t="str">
        <f>+IF(K101=""," ",VLOOKUP(K101,PUC!$B:$C,2,FALSE))</f>
        <v xml:space="preserve"> </v>
      </c>
      <c r="K101" s="326"/>
      <c r="L101" s="11" t="str">
        <f>+IF(M101=""," ",VLOOKUP(M101,Listas!$F$9:$G$17,2,FALSE))</f>
        <v xml:space="preserve"> </v>
      </c>
      <c r="M101" s="348"/>
      <c r="N101" s="337"/>
      <c r="O101" s="27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9"/>
      <c r="AA101" s="57"/>
    </row>
    <row r="102" spans="1:29" s="58" customFormat="1" ht="29.25" customHeight="1">
      <c r="A102" s="8"/>
      <c r="B102" s="11" t="str">
        <f>+IFERROR(VLOOKUP(C102,Listas!$L$8:$M$100,2,FALSE),"")</f>
        <v>03010102</v>
      </c>
      <c r="C102" s="326" t="s">
        <v>624</v>
      </c>
      <c r="D102" s="264"/>
      <c r="E102" s="265"/>
      <c r="F102" s="264"/>
      <c r="G102" s="265"/>
      <c r="H102" s="9" t="str">
        <f>+IF(I102=""," ",VLOOKUP(I102,Listas!$I$8:$J$10,2,FALSE))</f>
        <v xml:space="preserve"> </v>
      </c>
      <c r="I102" s="326"/>
      <c r="J102" s="360" t="str">
        <f>+IF(K102=""," ",VLOOKUP(K102,PUC!$B:$C,2,FALSE))</f>
        <v xml:space="preserve"> </v>
      </c>
      <c r="K102" s="326"/>
      <c r="L102" s="11" t="str">
        <f>+IF(M102=""," ",VLOOKUP(M102,Listas!$F$9:$G$17,2,FALSE))</f>
        <v xml:space="preserve"> </v>
      </c>
      <c r="M102" s="348"/>
      <c r="N102" s="337"/>
      <c r="O102" s="27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9"/>
      <c r="AA102" s="57"/>
    </row>
    <row r="103" spans="1:29" s="58" customFormat="1" ht="29.25" customHeight="1">
      <c r="A103" s="8"/>
      <c r="B103" s="11" t="str">
        <f>+IFERROR(VLOOKUP(C103,Listas!$L$8:$M$100,2,FALSE),"")</f>
        <v>03010102</v>
      </c>
      <c r="C103" s="326" t="s">
        <v>624</v>
      </c>
      <c r="D103" s="264"/>
      <c r="E103" s="265"/>
      <c r="F103" s="264"/>
      <c r="G103" s="265"/>
      <c r="H103" s="9" t="str">
        <f>+IF(I103=""," ",VLOOKUP(I103,Listas!$I$8:$J$10,2,FALSE))</f>
        <v xml:space="preserve"> </v>
      </c>
      <c r="I103" s="326"/>
      <c r="J103" s="360" t="str">
        <f>+IF(K103=""," ",VLOOKUP(K103,PUC!$B:$C,2,FALSE))</f>
        <v xml:space="preserve"> </v>
      </c>
      <c r="K103" s="326"/>
      <c r="L103" s="11" t="str">
        <f>+IF(M103=""," ",VLOOKUP(M103,Listas!$F$9:$G$17,2,FALSE))</f>
        <v xml:space="preserve"> </v>
      </c>
      <c r="M103" s="348"/>
      <c r="N103" s="337"/>
      <c r="O103" s="27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9"/>
      <c r="AA103" s="57"/>
    </row>
    <row r="104" spans="1:29" s="58" customFormat="1" ht="29.25" customHeight="1" thickBot="1">
      <c r="A104" s="8"/>
      <c r="B104" s="11" t="str">
        <f>+IFERROR(VLOOKUP(C104,Listas!$L$8:$M$100,2,FALSE),"")</f>
        <v>03010102</v>
      </c>
      <c r="C104" s="326" t="s">
        <v>624</v>
      </c>
      <c r="D104" s="264"/>
      <c r="E104" s="265"/>
      <c r="F104" s="264"/>
      <c r="G104" s="265"/>
      <c r="H104" s="9" t="str">
        <f>+IF(I104=""," ",VLOOKUP(I104,Listas!$I$8:$J$10,2,FALSE))</f>
        <v xml:space="preserve"> </v>
      </c>
      <c r="I104" s="326"/>
      <c r="J104" s="360" t="str">
        <f>+IF(K104=""," ",VLOOKUP(K104,PUC!$B:$C,2,FALSE))</f>
        <v xml:space="preserve"> </v>
      </c>
      <c r="K104" s="326"/>
      <c r="L104" s="11" t="str">
        <f>+IF(M104=""," ",VLOOKUP(M104,Listas!$F$9:$G$17,2,FALSE))</f>
        <v xml:space="preserve"> </v>
      </c>
      <c r="M104" s="348"/>
      <c r="N104" s="337"/>
      <c r="O104" s="27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9"/>
      <c r="AA104" s="57"/>
    </row>
    <row r="105" spans="1:29" ht="26.25" customHeight="1" thickBot="1">
      <c r="A105" s="187"/>
      <c r="B105" s="583" t="s">
        <v>280</v>
      </c>
      <c r="C105" s="584"/>
      <c r="D105" s="584"/>
      <c r="E105" s="584"/>
      <c r="F105" s="584"/>
      <c r="G105" s="584"/>
      <c r="H105" s="584"/>
      <c r="I105" s="584"/>
      <c r="J105" s="584"/>
      <c r="K105" s="584"/>
      <c r="L105" s="584"/>
      <c r="M105" s="584"/>
      <c r="N105" s="280">
        <f>SUM(N14:N104)</f>
        <v>323939000</v>
      </c>
    </row>
    <row r="106" spans="1:29" ht="13.5" customHeight="1" thickBot="1">
      <c r="A106" s="6"/>
      <c r="B106" s="33"/>
      <c r="C106" s="277"/>
      <c r="D106" s="277"/>
      <c r="E106" s="277"/>
      <c r="F106" s="277"/>
      <c r="G106" s="277"/>
      <c r="H106" s="278"/>
      <c r="I106" s="371"/>
      <c r="J106" s="279"/>
      <c r="K106" s="371"/>
      <c r="L106" s="312"/>
      <c r="M106" s="353"/>
      <c r="N106" s="341"/>
    </row>
    <row r="107" spans="1:29" s="60" customFormat="1" ht="19.5" customHeight="1">
      <c r="A107" s="34"/>
      <c r="B107" s="35"/>
      <c r="C107" s="327"/>
      <c r="D107" s="36"/>
      <c r="E107" s="35"/>
      <c r="F107" s="36"/>
      <c r="G107" s="36"/>
      <c r="H107" s="36"/>
      <c r="I107" s="327"/>
      <c r="J107" s="36"/>
      <c r="K107" s="374"/>
      <c r="L107" s="313"/>
      <c r="M107" s="354"/>
      <c r="N107" s="342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7"/>
      <c r="AA107" s="53"/>
      <c r="AB107" s="52"/>
    </row>
    <row r="108" spans="1:29" s="60" customFormat="1" ht="34.5" customHeight="1">
      <c r="A108" s="34"/>
      <c r="B108" s="39" t="s">
        <v>10</v>
      </c>
      <c r="C108" s="328"/>
      <c r="D108" s="40"/>
      <c r="E108" s="263" t="s">
        <v>130</v>
      </c>
      <c r="F108" s="41"/>
      <c r="G108" s="41"/>
      <c r="H108" s="41"/>
      <c r="I108" s="372"/>
      <c r="J108" s="41"/>
      <c r="K108" s="375" t="s">
        <v>11</v>
      </c>
      <c r="L108" s="314"/>
      <c r="M108" s="355"/>
      <c r="N108" s="343"/>
      <c r="O108" s="42"/>
      <c r="P108" s="42"/>
      <c r="Q108" s="43"/>
      <c r="R108" s="43"/>
      <c r="S108" s="43"/>
      <c r="T108" s="43"/>
      <c r="U108" s="43"/>
      <c r="V108" s="43"/>
      <c r="W108" s="43"/>
      <c r="X108" s="43"/>
      <c r="Y108" s="43"/>
      <c r="Z108" s="44"/>
      <c r="AA108" s="53"/>
      <c r="AB108" s="52"/>
      <c r="AC108" s="52"/>
    </row>
    <row r="109" spans="1:29" s="60" customFormat="1" ht="19.5" customHeight="1">
      <c r="A109" s="34"/>
      <c r="B109" s="39" t="s">
        <v>233</v>
      </c>
      <c r="C109" s="329"/>
      <c r="D109" s="45"/>
      <c r="E109" s="39" t="s">
        <v>233</v>
      </c>
      <c r="F109" s="40"/>
      <c r="G109" s="40"/>
      <c r="H109" s="45"/>
      <c r="I109" s="329"/>
      <c r="J109" s="45"/>
      <c r="K109" s="376" t="s">
        <v>247</v>
      </c>
      <c r="L109" s="315" t="str">
        <f>+INGRESOS!J112</f>
        <v>Jaime Alonso Velez Mazo</v>
      </c>
      <c r="M109" s="356"/>
      <c r="N109" s="344"/>
      <c r="O109" s="46"/>
      <c r="P109" s="46"/>
      <c r="Q109" s="43"/>
      <c r="R109" s="43"/>
      <c r="S109" s="43"/>
      <c r="T109" s="43"/>
      <c r="U109" s="43"/>
      <c r="V109" s="43"/>
      <c r="W109" s="43"/>
      <c r="X109" s="43"/>
      <c r="Y109" s="43"/>
      <c r="Z109" s="44"/>
      <c r="AA109" s="53"/>
      <c r="AB109" s="52"/>
      <c r="AC109" s="52"/>
    </row>
    <row r="110" spans="1:29" s="60" customFormat="1" ht="19.5" customHeight="1">
      <c r="A110" s="34"/>
      <c r="B110" s="39" t="s">
        <v>234</v>
      </c>
      <c r="C110" s="329"/>
      <c r="D110" s="45"/>
      <c r="E110" s="39" t="s">
        <v>234</v>
      </c>
      <c r="F110" s="40"/>
      <c r="G110" s="40"/>
      <c r="H110" s="45"/>
      <c r="I110" s="329"/>
      <c r="J110" s="45"/>
      <c r="K110" s="375" t="s">
        <v>246</v>
      </c>
      <c r="L110" s="315" t="str">
        <f>+INGRESOS!J113</f>
        <v>Asistente de Presidencia para Presupuesto</v>
      </c>
      <c r="M110" s="356"/>
      <c r="N110" s="344"/>
      <c r="O110" s="46"/>
      <c r="P110" s="46"/>
      <c r="Q110" s="43"/>
      <c r="R110" s="43"/>
      <c r="S110" s="43"/>
      <c r="T110" s="43"/>
      <c r="U110" s="43"/>
      <c r="V110" s="43"/>
      <c r="W110" s="43"/>
      <c r="X110" s="43"/>
      <c r="Y110" s="43"/>
      <c r="Z110" s="44"/>
      <c r="AA110" s="53"/>
      <c r="AB110" s="52"/>
      <c r="AC110" s="52"/>
    </row>
    <row r="111" spans="1:29" ht="19.5" customHeight="1">
      <c r="A111" s="6"/>
      <c r="B111" s="39" t="s">
        <v>235</v>
      </c>
      <c r="C111" s="329"/>
      <c r="D111" s="45"/>
      <c r="E111" s="39" t="s">
        <v>235</v>
      </c>
      <c r="F111" s="40"/>
      <c r="G111" s="40"/>
      <c r="H111" s="45"/>
      <c r="I111" s="329"/>
      <c r="J111" s="45"/>
      <c r="K111" s="376" t="s">
        <v>236</v>
      </c>
      <c r="L111" s="315"/>
      <c r="M111" s="356"/>
      <c r="N111" s="344"/>
      <c r="O111" s="46"/>
      <c r="P111" s="46"/>
      <c r="Q111" s="43"/>
      <c r="R111" s="43"/>
      <c r="S111" s="43"/>
      <c r="T111" s="43"/>
      <c r="U111" s="43"/>
      <c r="V111" s="43"/>
      <c r="W111" s="43"/>
      <c r="X111" s="43"/>
      <c r="Y111" s="43"/>
      <c r="Z111" s="44"/>
    </row>
    <row r="112" spans="1:29" ht="15.75" thickBot="1">
      <c r="A112" s="6"/>
      <c r="B112" s="47"/>
      <c r="C112" s="330"/>
      <c r="D112" s="48"/>
      <c r="E112" s="47"/>
      <c r="F112" s="48"/>
      <c r="G112" s="48"/>
      <c r="H112" s="48"/>
      <c r="I112" s="330"/>
      <c r="J112" s="48"/>
      <c r="K112" s="377"/>
      <c r="L112" s="316"/>
      <c r="M112" s="357"/>
      <c r="N112" s="345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49"/>
    </row>
  </sheetData>
  <mergeCells count="53">
    <mergeCell ref="B105:M105"/>
    <mergeCell ref="W12:W13"/>
    <mergeCell ref="F71:F76"/>
    <mergeCell ref="F58:F60"/>
    <mergeCell ref="F66:F67"/>
    <mergeCell ref="F61:F64"/>
    <mergeCell ref="F29:F30"/>
    <mergeCell ref="F37:F43"/>
    <mergeCell ref="F44:F55"/>
    <mergeCell ref="F31:F32"/>
    <mergeCell ref="F33:F34"/>
    <mergeCell ref="O11:Z11"/>
    <mergeCell ref="H12:I12"/>
    <mergeCell ref="J12:K12"/>
    <mergeCell ref="L12:M12"/>
    <mergeCell ref="N12:N13"/>
    <mergeCell ref="O12:O13"/>
    <mergeCell ref="P12:P13"/>
    <mergeCell ref="Q12:Q13"/>
    <mergeCell ref="X12:X13"/>
    <mergeCell ref="Y12:Y13"/>
    <mergeCell ref="Z12:Z13"/>
    <mergeCell ref="R12:R13"/>
    <mergeCell ref="S12:S13"/>
    <mergeCell ref="T12:T13"/>
    <mergeCell ref="U12:U13"/>
    <mergeCell ref="V12:V13"/>
    <mergeCell ref="A1:Z1"/>
    <mergeCell ref="B2:Z2"/>
    <mergeCell ref="B3:Z3"/>
    <mergeCell ref="A4:N4"/>
    <mergeCell ref="A5:N5"/>
    <mergeCell ref="A7:N7"/>
    <mergeCell ref="I9:Z9"/>
    <mergeCell ref="B6:G6"/>
    <mergeCell ref="H6:K6"/>
    <mergeCell ref="L6:M6"/>
    <mergeCell ref="N6:Z6"/>
    <mergeCell ref="C9:G9"/>
    <mergeCell ref="C8:G8"/>
    <mergeCell ref="A10:N10"/>
    <mergeCell ref="H11:N11"/>
    <mergeCell ref="F23:F24"/>
    <mergeCell ref="F25:F26"/>
    <mergeCell ref="F27:F28"/>
    <mergeCell ref="B11:C12"/>
    <mergeCell ref="D11:D13"/>
    <mergeCell ref="E11:E13"/>
    <mergeCell ref="F11:F12"/>
    <mergeCell ref="G11:G12"/>
    <mergeCell ref="F13:G13"/>
    <mergeCell ref="F14:F15"/>
    <mergeCell ref="F16:F17"/>
  </mergeCells>
  <dataValidations count="3">
    <dataValidation type="list" allowBlank="1" showInputMessage="1" showErrorMessage="1" sqref="K93:K95 K79:K80 K21:K23 K42:K57 K75:K76 K14:K19 K25:K36 K71 K101:K104" xr:uid="{150EE5DE-0A67-4B35-83D6-D538D1046485}">
      <formula1>IF(I14="Gastos Pregrado",GtosPre,IF(I14="Inversión",Inversiones,InverPre))</formula1>
    </dataValidation>
    <dataValidation type="list" allowBlank="1" showInputMessage="1" showErrorMessage="1" sqref="K58:K69" xr:uid="{ACA26BB3-9718-4BFD-8885-47C0AF08E9C8}">
      <formula1>IF(I58="Gastos Investigación",GtosInves,IF(I58="Inversión",Inversiones,InverInvest))</formula1>
    </dataValidation>
    <dataValidation type="list" allowBlank="1" showInputMessage="1" showErrorMessage="1" sqref="K81:K92 K77:K78 K96:K100 K72:K74 K37:K41 K24 K20" xr:uid="{5E1EA9CC-9BD5-44C4-B1F3-2A6AF6DB4D2F}">
      <formula1>IF(I20="Gastos Posgrados",GtosPos,IF(I20="Inversión",Inversiones,InverPos))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45082B65-F735-4B80-8660-C5A075B0548B}">
          <x14:formula1>
            <xm:f>Listas!$I$8:$I$10</xm:f>
          </x14:formula1>
          <xm:sqref>I101:I104 I93:I95 I79 I21:I23 I25:I36 I42:I57 I75:I76 I14:I19 I71</xm:sqref>
        </x14:dataValidation>
        <x14:dataValidation type="list" allowBlank="1" showInputMessage="1" showErrorMessage="1" xr:uid="{6EF12EFF-2838-49A4-A9F5-0194DC94EC01}">
          <x14:formula1>
            <xm:f>Listas!$I$12:$I$14</xm:f>
          </x14:formula1>
          <xm:sqref>I58:I69</xm:sqref>
        </x14:dataValidation>
        <x14:dataValidation type="list" allowBlank="1" showInputMessage="1" showErrorMessage="1" xr:uid="{90433CAB-3BDE-4821-BE3B-93244D5D93FD}">
          <x14:formula1>
            <xm:f>Listas!$I$21:$I$23</xm:f>
          </x14:formula1>
          <xm:sqref>I80:I92 I77:I78 I96:I100 I72:I74 I37:I41 I24 I20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M14:M104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C14:C104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5" workbookViewId="0">
      <selection activeCell="G20" sqref="G20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3" t="s">
        <v>287</v>
      </c>
      <c r="B7" s="304" t="s">
        <v>430</v>
      </c>
      <c r="C7" s="304" t="s">
        <v>431</v>
      </c>
      <c r="D7" s="303" t="s">
        <v>287</v>
      </c>
      <c r="F7" s="310" t="s">
        <v>444</v>
      </c>
      <c r="G7" s="310" t="s">
        <v>7</v>
      </c>
      <c r="I7" s="310" t="s">
        <v>7</v>
      </c>
      <c r="J7" s="310" t="s">
        <v>465</v>
      </c>
      <c r="L7" s="310" t="s">
        <v>622</v>
      </c>
      <c r="M7" s="310" t="s">
        <v>623</v>
      </c>
    </row>
    <row r="8" spans="1:13">
      <c r="A8" s="305" t="s">
        <v>288</v>
      </c>
      <c r="B8" s="305" t="s">
        <v>289</v>
      </c>
      <c r="C8" s="305" t="s">
        <v>144</v>
      </c>
      <c r="D8" s="305" t="s">
        <v>288</v>
      </c>
      <c r="F8" s="306" t="s">
        <v>445</v>
      </c>
      <c r="G8" s="307" t="s">
        <v>446</v>
      </c>
      <c r="I8" s="322" t="s">
        <v>467</v>
      </c>
      <c r="J8" s="323" t="s">
        <v>448</v>
      </c>
      <c r="L8" s="324" t="s">
        <v>474</v>
      </c>
      <c r="M8" s="325" t="s">
        <v>166</v>
      </c>
    </row>
    <row r="9" spans="1:13">
      <c r="A9" s="305" t="s">
        <v>288</v>
      </c>
      <c r="B9" s="305" t="s">
        <v>290</v>
      </c>
      <c r="C9" s="305" t="s">
        <v>145</v>
      </c>
      <c r="D9" s="305" t="s">
        <v>288</v>
      </c>
      <c r="F9" s="306" t="s">
        <v>447</v>
      </c>
      <c r="G9" s="307" t="s">
        <v>448</v>
      </c>
      <c r="I9" s="322" t="s">
        <v>468</v>
      </c>
      <c r="J9" s="323" t="s">
        <v>450</v>
      </c>
      <c r="L9" s="324" t="s">
        <v>475</v>
      </c>
      <c r="M9" s="325" t="s">
        <v>167</v>
      </c>
    </row>
    <row r="10" spans="1:13">
      <c r="A10" s="305" t="s">
        <v>288</v>
      </c>
      <c r="B10" s="305" t="s">
        <v>292</v>
      </c>
      <c r="C10" s="305" t="s">
        <v>291</v>
      </c>
      <c r="D10" s="305" t="s">
        <v>288</v>
      </c>
      <c r="F10" s="306" t="s">
        <v>449</v>
      </c>
      <c r="G10" s="307" t="s">
        <v>450</v>
      </c>
      <c r="I10" s="322" t="s">
        <v>469</v>
      </c>
      <c r="J10" s="323" t="s">
        <v>452</v>
      </c>
      <c r="L10" s="324" t="s">
        <v>476</v>
      </c>
      <c r="M10" s="325" t="s">
        <v>206</v>
      </c>
    </row>
    <row r="11" spans="1:13">
      <c r="A11" s="305" t="s">
        <v>288</v>
      </c>
      <c r="B11" s="305" t="s">
        <v>294</v>
      </c>
      <c r="C11" s="305" t="s">
        <v>293</v>
      </c>
      <c r="D11" s="305" t="s">
        <v>288</v>
      </c>
      <c r="F11" s="306" t="s">
        <v>451</v>
      </c>
      <c r="G11" s="307" t="s">
        <v>452</v>
      </c>
      <c r="I11" s="319" t="s">
        <v>466</v>
      </c>
      <c r="J11" s="320"/>
      <c r="L11" s="324" t="s">
        <v>477</v>
      </c>
      <c r="M11" s="325" t="s">
        <v>207</v>
      </c>
    </row>
    <row r="12" spans="1:13">
      <c r="A12" s="305" t="s">
        <v>288</v>
      </c>
      <c r="B12" s="305" t="s">
        <v>296</v>
      </c>
      <c r="C12" s="305" t="s">
        <v>295</v>
      </c>
      <c r="D12" s="305" t="s">
        <v>288</v>
      </c>
      <c r="F12" s="306" t="s">
        <v>453</v>
      </c>
      <c r="G12" s="307" t="s">
        <v>454</v>
      </c>
      <c r="I12" s="322" t="s">
        <v>470</v>
      </c>
      <c r="J12" s="323" t="s">
        <v>454</v>
      </c>
      <c r="L12" s="324" t="s">
        <v>478</v>
      </c>
      <c r="M12" s="325" t="s">
        <v>208</v>
      </c>
    </row>
    <row r="13" spans="1:13">
      <c r="A13" s="305" t="s">
        <v>288</v>
      </c>
      <c r="B13" s="305" t="s">
        <v>298</v>
      </c>
      <c r="C13" s="305" t="s">
        <v>297</v>
      </c>
      <c r="D13" s="305" t="s">
        <v>288</v>
      </c>
      <c r="F13" s="306" t="s">
        <v>455</v>
      </c>
      <c r="G13" s="307" t="s">
        <v>456</v>
      </c>
      <c r="I13" s="322" t="s">
        <v>471</v>
      </c>
      <c r="J13" s="323" t="s">
        <v>456</v>
      </c>
      <c r="L13" s="324" t="s">
        <v>479</v>
      </c>
      <c r="M13" s="325" t="s">
        <v>209</v>
      </c>
    </row>
    <row r="14" spans="1:13">
      <c r="A14" s="305" t="s">
        <v>288</v>
      </c>
      <c r="B14" s="305" t="s">
        <v>300</v>
      </c>
      <c r="C14" s="305" t="s">
        <v>299</v>
      </c>
      <c r="D14" s="305" t="s">
        <v>288</v>
      </c>
      <c r="F14" s="306" t="s">
        <v>457</v>
      </c>
      <c r="G14" s="307" t="s">
        <v>458</v>
      </c>
      <c r="I14" s="322" t="s">
        <v>468</v>
      </c>
      <c r="J14" s="323" t="s">
        <v>450</v>
      </c>
      <c r="L14" s="324" t="s">
        <v>480</v>
      </c>
      <c r="M14" s="325" t="s">
        <v>222</v>
      </c>
    </row>
    <row r="15" spans="1:13">
      <c r="A15" s="305" t="s">
        <v>301</v>
      </c>
      <c r="B15" s="305" t="s">
        <v>302</v>
      </c>
      <c r="C15" s="305" t="s">
        <v>146</v>
      </c>
      <c r="D15" s="305" t="s">
        <v>301</v>
      </c>
      <c r="F15" s="306" t="s">
        <v>459</v>
      </c>
      <c r="G15" s="307" t="s">
        <v>460</v>
      </c>
      <c r="L15" s="324" t="s">
        <v>481</v>
      </c>
      <c r="M15" s="325" t="s">
        <v>210</v>
      </c>
    </row>
    <row r="16" spans="1:13">
      <c r="A16" s="305" t="s">
        <v>301</v>
      </c>
      <c r="B16" s="305" t="s">
        <v>303</v>
      </c>
      <c r="C16" s="305" t="s">
        <v>147</v>
      </c>
      <c r="D16" s="305" t="s">
        <v>301</v>
      </c>
      <c r="F16" s="306" t="s">
        <v>461</v>
      </c>
      <c r="G16" s="307" t="s">
        <v>462</v>
      </c>
      <c r="I16" s="322" t="s">
        <v>472</v>
      </c>
      <c r="J16" s="323" t="s">
        <v>458</v>
      </c>
      <c r="L16" s="324" t="s">
        <v>483</v>
      </c>
      <c r="M16" s="325" t="s">
        <v>482</v>
      </c>
    </row>
    <row r="17" spans="1:13" ht="15.75" thickBot="1">
      <c r="A17" s="305" t="s">
        <v>301</v>
      </c>
      <c r="B17" s="305" t="s">
        <v>304</v>
      </c>
      <c r="C17" s="305" t="s">
        <v>148</v>
      </c>
      <c r="D17" s="305" t="s">
        <v>301</v>
      </c>
      <c r="F17" s="308" t="s">
        <v>463</v>
      </c>
      <c r="G17" s="309" t="s">
        <v>464</v>
      </c>
      <c r="I17" s="322" t="s">
        <v>468</v>
      </c>
      <c r="J17" s="323" t="s">
        <v>450</v>
      </c>
      <c r="L17" s="324" t="s">
        <v>484</v>
      </c>
      <c r="M17" s="325" t="s">
        <v>211</v>
      </c>
    </row>
    <row r="18" spans="1:13">
      <c r="A18" s="305" t="s">
        <v>301</v>
      </c>
      <c r="B18" s="305" t="s">
        <v>305</v>
      </c>
      <c r="C18" s="305" t="s">
        <v>149</v>
      </c>
      <c r="D18" s="305" t="s">
        <v>301</v>
      </c>
      <c r="L18" s="324" t="s">
        <v>485</v>
      </c>
      <c r="M18" s="325" t="s">
        <v>212</v>
      </c>
    </row>
    <row r="19" spans="1:13">
      <c r="A19" s="305" t="s">
        <v>301</v>
      </c>
      <c r="B19" s="305" t="s">
        <v>306</v>
      </c>
      <c r="C19" s="305" t="s">
        <v>205</v>
      </c>
      <c r="D19" s="305" t="s">
        <v>301</v>
      </c>
      <c r="I19" s="322" t="s">
        <v>473</v>
      </c>
      <c r="J19" s="323" t="s">
        <v>454</v>
      </c>
      <c r="L19" s="324" t="s">
        <v>486</v>
      </c>
      <c r="M19" s="325" t="s">
        <v>213</v>
      </c>
    </row>
    <row r="20" spans="1:13">
      <c r="A20" s="305" t="s">
        <v>301</v>
      </c>
      <c r="B20" s="305" t="s">
        <v>307</v>
      </c>
      <c r="C20" s="305" t="s">
        <v>150</v>
      </c>
      <c r="D20" s="305" t="s">
        <v>301</v>
      </c>
      <c r="I20" s="319" t="s">
        <v>466</v>
      </c>
      <c r="J20" s="320"/>
      <c r="L20" s="324" t="s">
        <v>488</v>
      </c>
      <c r="M20" s="325" t="s">
        <v>487</v>
      </c>
    </row>
    <row r="21" spans="1:13">
      <c r="A21" s="305" t="s">
        <v>301</v>
      </c>
      <c r="B21" s="305" t="s">
        <v>308</v>
      </c>
      <c r="C21" s="305" t="s">
        <v>151</v>
      </c>
      <c r="D21" s="305" t="s">
        <v>301</v>
      </c>
      <c r="I21" s="429" t="s">
        <v>772</v>
      </c>
      <c r="J21" s="323" t="s">
        <v>460</v>
      </c>
      <c r="L21" s="324" t="s">
        <v>490</v>
      </c>
      <c r="M21" s="325" t="s">
        <v>489</v>
      </c>
    </row>
    <row r="22" spans="1:13">
      <c r="A22" s="305" t="s">
        <v>301</v>
      </c>
      <c r="B22" s="305" t="s">
        <v>310</v>
      </c>
      <c r="C22" s="305" t="s">
        <v>309</v>
      </c>
      <c r="D22" s="305" t="s">
        <v>301</v>
      </c>
      <c r="I22" s="322" t="s">
        <v>1279</v>
      </c>
      <c r="J22" s="323" t="s">
        <v>462</v>
      </c>
      <c r="L22" s="324" t="s">
        <v>491</v>
      </c>
      <c r="M22" s="325" t="s">
        <v>214</v>
      </c>
    </row>
    <row r="23" spans="1:13">
      <c r="A23" s="305" t="s">
        <v>301</v>
      </c>
      <c r="B23" s="305" t="s">
        <v>312</v>
      </c>
      <c r="C23" s="305" t="s">
        <v>311</v>
      </c>
      <c r="D23" s="305" t="s">
        <v>301</v>
      </c>
      <c r="I23" s="322" t="s">
        <v>468</v>
      </c>
      <c r="J23" s="323" t="s">
        <v>450</v>
      </c>
      <c r="L23" s="324" t="s">
        <v>493</v>
      </c>
      <c r="M23" s="325" t="s">
        <v>492</v>
      </c>
    </row>
    <row r="24" spans="1:13">
      <c r="A24" s="305" t="s">
        <v>301</v>
      </c>
      <c r="B24" s="305" t="s">
        <v>314</v>
      </c>
      <c r="C24" s="305" t="s">
        <v>313</v>
      </c>
      <c r="D24" s="305" t="s">
        <v>301</v>
      </c>
      <c r="I24" s="321" t="s">
        <v>466</v>
      </c>
      <c r="J24" s="321"/>
      <c r="L24" s="324" t="s">
        <v>494</v>
      </c>
      <c r="M24" s="325" t="s">
        <v>215</v>
      </c>
    </row>
    <row r="25" spans="1:13">
      <c r="A25" s="305" t="s">
        <v>301</v>
      </c>
      <c r="B25" s="305" t="s">
        <v>316</v>
      </c>
      <c r="C25" s="305" t="s">
        <v>315</v>
      </c>
      <c r="D25" s="305" t="s">
        <v>301</v>
      </c>
      <c r="L25" s="324" t="s">
        <v>495</v>
      </c>
      <c r="M25" s="325" t="s">
        <v>216</v>
      </c>
    </row>
    <row r="26" spans="1:13">
      <c r="A26" s="305" t="s">
        <v>301</v>
      </c>
      <c r="B26" s="305" t="s">
        <v>318</v>
      </c>
      <c r="C26" s="305" t="s">
        <v>317</v>
      </c>
      <c r="D26" s="305" t="s">
        <v>301</v>
      </c>
      <c r="L26" s="324" t="s">
        <v>496</v>
      </c>
      <c r="M26" s="325" t="s">
        <v>217</v>
      </c>
    </row>
    <row r="27" spans="1:13">
      <c r="A27" s="305" t="s">
        <v>301</v>
      </c>
      <c r="B27" s="305" t="s">
        <v>320</v>
      </c>
      <c r="C27" s="305" t="s">
        <v>319</v>
      </c>
      <c r="D27" s="305" t="s">
        <v>301</v>
      </c>
      <c r="L27" s="324" t="s">
        <v>498</v>
      </c>
      <c r="M27" s="325" t="s">
        <v>497</v>
      </c>
    </row>
    <row r="28" spans="1:13">
      <c r="A28" s="305" t="s">
        <v>301</v>
      </c>
      <c r="B28" s="305" t="s">
        <v>322</v>
      </c>
      <c r="C28" s="305" t="s">
        <v>321</v>
      </c>
      <c r="D28" s="305" t="s">
        <v>301</v>
      </c>
      <c r="L28" s="324" t="s">
        <v>500</v>
      </c>
      <c r="M28" s="325" t="s">
        <v>499</v>
      </c>
    </row>
    <row r="29" spans="1:13">
      <c r="A29" s="305" t="s">
        <v>301</v>
      </c>
      <c r="B29" s="305" t="s">
        <v>324</v>
      </c>
      <c r="C29" s="305" t="s">
        <v>323</v>
      </c>
      <c r="D29" s="305" t="s">
        <v>301</v>
      </c>
      <c r="L29" s="324" t="s">
        <v>502</v>
      </c>
      <c r="M29" s="325" t="s">
        <v>501</v>
      </c>
    </row>
    <row r="30" spans="1:13">
      <c r="A30" s="305" t="s">
        <v>301</v>
      </c>
      <c r="B30" s="305" t="s">
        <v>326</v>
      </c>
      <c r="C30" s="305" t="s">
        <v>325</v>
      </c>
      <c r="D30" s="305" t="s">
        <v>301</v>
      </c>
      <c r="L30" s="324" t="s">
        <v>504</v>
      </c>
      <c r="M30" s="325" t="s">
        <v>503</v>
      </c>
    </row>
    <row r="31" spans="1:13">
      <c r="A31" s="305" t="s">
        <v>301</v>
      </c>
      <c r="B31" s="305" t="s">
        <v>328</v>
      </c>
      <c r="C31" s="305" t="s">
        <v>327</v>
      </c>
      <c r="D31" s="305" t="s">
        <v>301</v>
      </c>
      <c r="L31" s="324" t="s">
        <v>506</v>
      </c>
      <c r="M31" s="325" t="s">
        <v>505</v>
      </c>
    </row>
    <row r="32" spans="1:13">
      <c r="A32" s="305" t="s">
        <v>301</v>
      </c>
      <c r="B32" s="305" t="s">
        <v>330</v>
      </c>
      <c r="C32" s="305" t="s">
        <v>329</v>
      </c>
      <c r="D32" s="305" t="s">
        <v>301</v>
      </c>
      <c r="L32" s="324" t="s">
        <v>508</v>
      </c>
      <c r="M32" s="325" t="s">
        <v>507</v>
      </c>
    </row>
    <row r="33" spans="1:13">
      <c r="A33" s="305" t="s">
        <v>301</v>
      </c>
      <c r="B33" s="305" t="s">
        <v>332</v>
      </c>
      <c r="C33" s="305" t="s">
        <v>331</v>
      </c>
      <c r="D33" s="305" t="s">
        <v>301</v>
      </c>
      <c r="L33" s="324" t="s">
        <v>510</v>
      </c>
      <c r="M33" s="325" t="s">
        <v>509</v>
      </c>
    </row>
    <row r="34" spans="1:13">
      <c r="A34" s="305" t="s">
        <v>333</v>
      </c>
      <c r="B34" s="305" t="s">
        <v>334</v>
      </c>
      <c r="C34" s="305" t="s">
        <v>152</v>
      </c>
      <c r="D34" s="305" t="s">
        <v>333</v>
      </c>
      <c r="L34" s="324" t="s">
        <v>511</v>
      </c>
      <c r="M34" s="325" t="s">
        <v>218</v>
      </c>
    </row>
    <row r="35" spans="1:13">
      <c r="A35" s="305" t="s">
        <v>333</v>
      </c>
      <c r="B35" s="305" t="s">
        <v>335</v>
      </c>
      <c r="C35" s="305" t="s">
        <v>153</v>
      </c>
      <c r="D35" s="305" t="s">
        <v>333</v>
      </c>
      <c r="L35" s="324" t="s">
        <v>512</v>
      </c>
      <c r="M35" s="325" t="s">
        <v>219</v>
      </c>
    </row>
    <row r="36" spans="1:13">
      <c r="A36" s="305" t="s">
        <v>333</v>
      </c>
      <c r="B36" s="305" t="s">
        <v>336</v>
      </c>
      <c r="C36" s="305" t="s">
        <v>154</v>
      </c>
      <c r="D36" s="305" t="s">
        <v>333</v>
      </c>
      <c r="L36" s="324" t="s">
        <v>513</v>
      </c>
      <c r="M36" s="325" t="s">
        <v>239</v>
      </c>
    </row>
    <row r="37" spans="1:13">
      <c r="A37" s="305" t="s">
        <v>333</v>
      </c>
      <c r="B37" s="305" t="s">
        <v>337</v>
      </c>
      <c r="C37" s="305" t="s">
        <v>155</v>
      </c>
      <c r="D37" s="305" t="s">
        <v>333</v>
      </c>
      <c r="L37" s="324" t="s">
        <v>514</v>
      </c>
      <c r="M37" s="325" t="s">
        <v>238</v>
      </c>
    </row>
    <row r="38" spans="1:13">
      <c r="A38" s="305" t="s">
        <v>333</v>
      </c>
      <c r="B38" s="305" t="s">
        <v>339</v>
      </c>
      <c r="C38" s="305" t="s">
        <v>338</v>
      </c>
      <c r="D38" s="305" t="s">
        <v>333</v>
      </c>
      <c r="L38" s="324" t="s">
        <v>515</v>
      </c>
      <c r="M38" s="325" t="s">
        <v>240</v>
      </c>
    </row>
    <row r="39" spans="1:13">
      <c r="A39" s="305" t="s">
        <v>333</v>
      </c>
      <c r="B39" s="305" t="s">
        <v>341</v>
      </c>
      <c r="C39" s="305" t="s">
        <v>340</v>
      </c>
      <c r="D39" s="305" t="s">
        <v>333</v>
      </c>
      <c r="L39" s="324" t="s">
        <v>516</v>
      </c>
      <c r="M39" s="325" t="s">
        <v>241</v>
      </c>
    </row>
    <row r="40" spans="1:13">
      <c r="A40" s="305" t="s">
        <v>333</v>
      </c>
      <c r="B40" s="305" t="s">
        <v>343</v>
      </c>
      <c r="C40" s="305" t="s">
        <v>342</v>
      </c>
      <c r="D40" s="305" t="s">
        <v>333</v>
      </c>
      <c r="L40" s="324" t="s">
        <v>517</v>
      </c>
      <c r="M40" s="325" t="s">
        <v>242</v>
      </c>
    </row>
    <row r="41" spans="1:13">
      <c r="A41" s="305" t="s">
        <v>333</v>
      </c>
      <c r="B41" s="305" t="s">
        <v>345</v>
      </c>
      <c r="C41" s="305" t="s">
        <v>344</v>
      </c>
      <c r="D41" s="305" t="s">
        <v>333</v>
      </c>
      <c r="L41" s="324" t="s">
        <v>262</v>
      </c>
      <c r="M41" s="325" t="s">
        <v>261</v>
      </c>
    </row>
    <row r="42" spans="1:13">
      <c r="A42" s="305" t="s">
        <v>333</v>
      </c>
      <c r="B42" s="305" t="s">
        <v>347</v>
      </c>
      <c r="C42" s="305" t="s">
        <v>346</v>
      </c>
      <c r="D42" s="305" t="s">
        <v>333</v>
      </c>
      <c r="L42" s="324" t="s">
        <v>264</v>
      </c>
      <c r="M42" s="325" t="s">
        <v>263</v>
      </c>
    </row>
    <row r="43" spans="1:13">
      <c r="A43" s="305" t="s">
        <v>333</v>
      </c>
      <c r="B43" s="305" t="s">
        <v>349</v>
      </c>
      <c r="C43" s="305" t="s">
        <v>348</v>
      </c>
      <c r="D43" s="305" t="s">
        <v>333</v>
      </c>
      <c r="L43" s="324" t="s">
        <v>266</v>
      </c>
      <c r="M43" s="325" t="s">
        <v>265</v>
      </c>
    </row>
    <row r="44" spans="1:13">
      <c r="A44" s="305" t="s">
        <v>333</v>
      </c>
      <c r="B44" s="305" t="s">
        <v>353</v>
      </c>
      <c r="C44" s="305" t="s">
        <v>352</v>
      </c>
      <c r="D44" s="305" t="s">
        <v>333</v>
      </c>
      <c r="L44" s="324" t="s">
        <v>267</v>
      </c>
      <c r="M44" s="325" t="s">
        <v>518</v>
      </c>
    </row>
    <row r="45" spans="1:13">
      <c r="A45" s="305" t="s">
        <v>354</v>
      </c>
      <c r="B45" s="305" t="s">
        <v>355</v>
      </c>
      <c r="C45" s="305" t="s">
        <v>156</v>
      </c>
      <c r="D45" s="305" t="s">
        <v>354</v>
      </c>
      <c r="L45" s="324" t="s">
        <v>519</v>
      </c>
      <c r="M45" s="325" t="s">
        <v>243</v>
      </c>
    </row>
    <row r="46" spans="1:13">
      <c r="A46" s="305" t="s">
        <v>354</v>
      </c>
      <c r="B46" s="305" t="s">
        <v>356</v>
      </c>
      <c r="C46" s="305" t="s">
        <v>157</v>
      </c>
      <c r="D46" s="305" t="s">
        <v>354</v>
      </c>
      <c r="L46" s="324" t="s">
        <v>520</v>
      </c>
      <c r="M46" s="325" t="s">
        <v>244</v>
      </c>
    </row>
    <row r="47" spans="1:13">
      <c r="A47" s="305" t="s">
        <v>354</v>
      </c>
      <c r="B47" s="305" t="s">
        <v>357</v>
      </c>
      <c r="C47" s="305" t="s">
        <v>158</v>
      </c>
      <c r="D47" s="305" t="s">
        <v>354</v>
      </c>
      <c r="L47" s="324" t="s">
        <v>521</v>
      </c>
      <c r="M47" s="325" t="s">
        <v>220</v>
      </c>
    </row>
    <row r="48" spans="1:13">
      <c r="A48" s="305" t="s">
        <v>354</v>
      </c>
      <c r="B48" s="305" t="s">
        <v>358</v>
      </c>
      <c r="C48" s="305" t="s">
        <v>159</v>
      </c>
      <c r="D48" s="305" t="s">
        <v>354</v>
      </c>
      <c r="L48" s="324" t="s">
        <v>522</v>
      </c>
      <c r="M48" s="325" t="s">
        <v>245</v>
      </c>
    </row>
    <row r="49" spans="1:13">
      <c r="A49" s="305" t="s">
        <v>354</v>
      </c>
      <c r="B49" s="305" t="s">
        <v>359</v>
      </c>
      <c r="C49" s="305" t="s">
        <v>160</v>
      </c>
      <c r="D49" s="305" t="s">
        <v>354</v>
      </c>
      <c r="L49" s="324" t="s">
        <v>523</v>
      </c>
      <c r="M49" s="325" t="s">
        <v>221</v>
      </c>
    </row>
    <row r="50" spans="1:13">
      <c r="A50" s="305" t="s">
        <v>354</v>
      </c>
      <c r="B50" s="305" t="s">
        <v>350</v>
      </c>
      <c r="C50" s="305" t="s">
        <v>161</v>
      </c>
      <c r="D50" s="305" t="s">
        <v>354</v>
      </c>
      <c r="L50" s="324" t="s">
        <v>525</v>
      </c>
      <c r="M50" s="325" t="s">
        <v>524</v>
      </c>
    </row>
    <row r="51" spans="1:13">
      <c r="A51" s="305" t="s">
        <v>354</v>
      </c>
      <c r="B51" s="305" t="s">
        <v>361</v>
      </c>
      <c r="C51" s="305" t="s">
        <v>360</v>
      </c>
      <c r="D51" s="305" t="s">
        <v>354</v>
      </c>
      <c r="L51" s="324" t="s">
        <v>527</v>
      </c>
      <c r="M51" s="325" t="s">
        <v>526</v>
      </c>
    </row>
    <row r="52" spans="1:13">
      <c r="A52" s="305" t="s">
        <v>354</v>
      </c>
      <c r="B52" s="305" t="s">
        <v>363</v>
      </c>
      <c r="C52" s="305" t="s">
        <v>362</v>
      </c>
      <c r="D52" s="305" t="s">
        <v>354</v>
      </c>
      <c r="L52" s="324" t="s">
        <v>529</v>
      </c>
      <c r="M52" s="325" t="s">
        <v>528</v>
      </c>
    </row>
    <row r="53" spans="1:13">
      <c r="A53" s="305" t="s">
        <v>354</v>
      </c>
      <c r="B53" s="305" t="s">
        <v>351</v>
      </c>
      <c r="C53" s="305" t="s">
        <v>364</v>
      </c>
      <c r="D53" s="305" t="s">
        <v>354</v>
      </c>
      <c r="L53" s="324" t="s">
        <v>531</v>
      </c>
      <c r="M53" s="325" t="s">
        <v>530</v>
      </c>
    </row>
    <row r="54" spans="1:13">
      <c r="A54" s="305" t="s">
        <v>365</v>
      </c>
      <c r="B54" s="305" t="s">
        <v>366</v>
      </c>
      <c r="C54" s="305" t="s">
        <v>164</v>
      </c>
      <c r="D54" s="305" t="s">
        <v>365</v>
      </c>
      <c r="L54" s="324" t="s">
        <v>533</v>
      </c>
      <c r="M54" s="325" t="s">
        <v>532</v>
      </c>
    </row>
    <row r="55" spans="1:13">
      <c r="A55" s="305" t="s">
        <v>367</v>
      </c>
      <c r="B55" s="305" t="s">
        <v>368</v>
      </c>
      <c r="C55" s="305" t="s">
        <v>165</v>
      </c>
      <c r="D55" s="305" t="s">
        <v>367</v>
      </c>
      <c r="L55" s="324" t="s">
        <v>535</v>
      </c>
      <c r="M55" s="325" t="s">
        <v>534</v>
      </c>
    </row>
    <row r="56" spans="1:13">
      <c r="A56" s="305" t="s">
        <v>369</v>
      </c>
      <c r="B56" s="305" t="s">
        <v>370</v>
      </c>
      <c r="C56" s="305" t="s">
        <v>168</v>
      </c>
      <c r="D56" s="305" t="s">
        <v>369</v>
      </c>
      <c r="L56" s="324" t="s">
        <v>537</v>
      </c>
      <c r="M56" s="325" t="s">
        <v>536</v>
      </c>
    </row>
    <row r="57" spans="1:13">
      <c r="A57" s="305" t="s">
        <v>371</v>
      </c>
      <c r="B57" s="305" t="s">
        <v>373</v>
      </c>
      <c r="C57" s="305" t="s">
        <v>372</v>
      </c>
      <c r="D57" s="305" t="s">
        <v>371</v>
      </c>
      <c r="L57" s="324" t="s">
        <v>539</v>
      </c>
      <c r="M57" s="325" t="s">
        <v>538</v>
      </c>
    </row>
    <row r="58" spans="1:13">
      <c r="A58" s="305" t="s">
        <v>371</v>
      </c>
      <c r="B58" s="305" t="s">
        <v>375</v>
      </c>
      <c r="C58" s="305" t="s">
        <v>374</v>
      </c>
      <c r="D58" s="305" t="s">
        <v>371</v>
      </c>
      <c r="L58" s="324" t="s">
        <v>541</v>
      </c>
      <c r="M58" s="325" t="s">
        <v>540</v>
      </c>
    </row>
    <row r="59" spans="1:13">
      <c r="A59" s="305" t="s">
        <v>371</v>
      </c>
      <c r="B59" s="305" t="s">
        <v>377</v>
      </c>
      <c r="C59" s="305" t="s">
        <v>376</v>
      </c>
      <c r="D59" s="305" t="s">
        <v>371</v>
      </c>
      <c r="L59" s="324" t="s">
        <v>543</v>
      </c>
      <c r="M59" s="325" t="s">
        <v>542</v>
      </c>
    </row>
    <row r="60" spans="1:13">
      <c r="A60" s="305" t="s">
        <v>371</v>
      </c>
      <c r="B60" s="305" t="s">
        <v>379</v>
      </c>
      <c r="C60" s="305" t="s">
        <v>378</v>
      </c>
      <c r="D60" s="305" t="s">
        <v>371</v>
      </c>
      <c r="L60" s="324" t="s">
        <v>545</v>
      </c>
      <c r="M60" s="325" t="s">
        <v>544</v>
      </c>
    </row>
    <row r="61" spans="1:13">
      <c r="A61" s="305" t="s">
        <v>371</v>
      </c>
      <c r="B61" s="305" t="s">
        <v>381</v>
      </c>
      <c r="C61" s="305" t="s">
        <v>380</v>
      </c>
      <c r="D61" s="305" t="s">
        <v>371</v>
      </c>
      <c r="L61" s="324" t="s">
        <v>547</v>
      </c>
      <c r="M61" s="325" t="s">
        <v>546</v>
      </c>
    </row>
    <row r="62" spans="1:13">
      <c r="A62" s="305" t="s">
        <v>371</v>
      </c>
      <c r="B62" s="305" t="s">
        <v>383</v>
      </c>
      <c r="C62" s="305" t="s">
        <v>382</v>
      </c>
      <c r="D62" s="305" t="s">
        <v>371</v>
      </c>
      <c r="L62" s="324" t="s">
        <v>549</v>
      </c>
      <c r="M62" s="325" t="s">
        <v>548</v>
      </c>
    </row>
    <row r="63" spans="1:13">
      <c r="A63" s="305" t="s">
        <v>384</v>
      </c>
      <c r="B63" s="305" t="s">
        <v>385</v>
      </c>
      <c r="C63" s="305" t="s">
        <v>169</v>
      </c>
      <c r="D63" s="305" t="s">
        <v>384</v>
      </c>
      <c r="L63" s="324" t="s">
        <v>551</v>
      </c>
      <c r="M63" s="325" t="s">
        <v>550</v>
      </c>
    </row>
    <row r="64" spans="1:13">
      <c r="A64" s="305" t="s">
        <v>384</v>
      </c>
      <c r="B64" s="305" t="s">
        <v>386</v>
      </c>
      <c r="C64" s="305" t="s">
        <v>170</v>
      </c>
      <c r="D64" s="305" t="s">
        <v>384</v>
      </c>
      <c r="L64" s="324" t="s">
        <v>553</v>
      </c>
      <c r="M64" s="325" t="s">
        <v>552</v>
      </c>
    </row>
    <row r="65" spans="1:13">
      <c r="A65" s="305" t="s">
        <v>384</v>
      </c>
      <c r="B65" s="305" t="s">
        <v>387</v>
      </c>
      <c r="C65" s="305" t="s">
        <v>171</v>
      </c>
      <c r="D65" s="305" t="s">
        <v>384</v>
      </c>
      <c r="L65" s="324" t="s">
        <v>555</v>
      </c>
      <c r="M65" s="325" t="s">
        <v>554</v>
      </c>
    </row>
    <row r="66" spans="1:13">
      <c r="A66" s="305" t="s">
        <v>384</v>
      </c>
      <c r="B66" s="305" t="s">
        <v>388</v>
      </c>
      <c r="C66" s="305" t="s">
        <v>172</v>
      </c>
      <c r="D66" s="305" t="s">
        <v>384</v>
      </c>
      <c r="L66" s="324" t="s">
        <v>557</v>
      </c>
      <c r="M66" s="325" t="s">
        <v>556</v>
      </c>
    </row>
    <row r="67" spans="1:13">
      <c r="A67" s="305" t="s">
        <v>384</v>
      </c>
      <c r="B67" s="305" t="s">
        <v>389</v>
      </c>
      <c r="C67" s="305" t="s">
        <v>173</v>
      </c>
      <c r="D67" s="305" t="s">
        <v>384</v>
      </c>
      <c r="L67" s="324" t="s">
        <v>559</v>
      </c>
      <c r="M67" s="325" t="s">
        <v>558</v>
      </c>
    </row>
    <row r="68" spans="1:13">
      <c r="A68" s="305" t="s">
        <v>384</v>
      </c>
      <c r="B68" s="305" t="s">
        <v>390</v>
      </c>
      <c r="C68" s="305" t="s">
        <v>174</v>
      </c>
      <c r="D68" s="305" t="s">
        <v>384</v>
      </c>
      <c r="L68" s="324" t="s">
        <v>561</v>
      </c>
      <c r="M68" s="325" t="s">
        <v>560</v>
      </c>
    </row>
    <row r="69" spans="1:13">
      <c r="A69" s="305" t="s">
        <v>391</v>
      </c>
      <c r="B69" s="305" t="s">
        <v>392</v>
      </c>
      <c r="C69" s="305" t="s">
        <v>175</v>
      </c>
      <c r="D69" s="305" t="s">
        <v>391</v>
      </c>
      <c r="L69" s="324" t="s">
        <v>563</v>
      </c>
      <c r="M69" s="325" t="s">
        <v>562</v>
      </c>
    </row>
    <row r="70" spans="1:13">
      <c r="A70" s="305" t="s">
        <v>391</v>
      </c>
      <c r="B70" s="305" t="s">
        <v>393</v>
      </c>
      <c r="C70" s="305" t="s">
        <v>176</v>
      </c>
      <c r="D70" s="305" t="s">
        <v>391</v>
      </c>
      <c r="L70" s="324" t="s">
        <v>565</v>
      </c>
      <c r="M70" s="325" t="s">
        <v>564</v>
      </c>
    </row>
    <row r="71" spans="1:13">
      <c r="A71" s="305" t="s">
        <v>391</v>
      </c>
      <c r="B71" s="305" t="s">
        <v>394</v>
      </c>
      <c r="C71" s="305" t="s">
        <v>177</v>
      </c>
      <c r="D71" s="305" t="s">
        <v>391</v>
      </c>
      <c r="L71" s="324" t="s">
        <v>567</v>
      </c>
      <c r="M71" s="325" t="s">
        <v>566</v>
      </c>
    </row>
    <row r="72" spans="1:13">
      <c r="A72" s="305" t="s">
        <v>391</v>
      </c>
      <c r="B72" s="305" t="s">
        <v>395</v>
      </c>
      <c r="C72" s="305" t="s">
        <v>178</v>
      </c>
      <c r="D72" s="305" t="s">
        <v>391</v>
      </c>
      <c r="L72" s="324" t="s">
        <v>569</v>
      </c>
      <c r="M72" s="325" t="s">
        <v>568</v>
      </c>
    </row>
    <row r="73" spans="1:13">
      <c r="A73" s="305" t="s">
        <v>391</v>
      </c>
      <c r="B73" s="305" t="s">
        <v>396</v>
      </c>
      <c r="C73" s="305" t="s">
        <v>179</v>
      </c>
      <c r="D73" s="305" t="s">
        <v>391</v>
      </c>
      <c r="L73" s="324" t="s">
        <v>571</v>
      </c>
      <c r="M73" s="325" t="s">
        <v>570</v>
      </c>
    </row>
    <row r="74" spans="1:13">
      <c r="A74" s="305" t="s">
        <v>397</v>
      </c>
      <c r="B74" s="305" t="s">
        <v>398</v>
      </c>
      <c r="C74" s="305" t="s">
        <v>180</v>
      </c>
      <c r="D74" s="305" t="s">
        <v>397</v>
      </c>
      <c r="L74" s="324" t="s">
        <v>573</v>
      </c>
      <c r="M74" s="325" t="s">
        <v>572</v>
      </c>
    </row>
    <row r="75" spans="1:13">
      <c r="A75" s="305" t="s">
        <v>397</v>
      </c>
      <c r="B75" s="305" t="s">
        <v>399</v>
      </c>
      <c r="C75" s="305" t="s">
        <v>181</v>
      </c>
      <c r="D75" s="305" t="s">
        <v>397</v>
      </c>
      <c r="L75" s="324" t="s">
        <v>575</v>
      </c>
      <c r="M75" s="325" t="s">
        <v>574</v>
      </c>
    </row>
    <row r="76" spans="1:13">
      <c r="A76" s="305" t="s">
        <v>397</v>
      </c>
      <c r="B76" s="305" t="s">
        <v>400</v>
      </c>
      <c r="C76" s="305" t="s">
        <v>182</v>
      </c>
      <c r="D76" s="305" t="s">
        <v>397</v>
      </c>
      <c r="L76" s="324" t="s">
        <v>577</v>
      </c>
      <c r="M76" s="325" t="s">
        <v>576</v>
      </c>
    </row>
    <row r="77" spans="1:13">
      <c r="A77" s="305" t="s">
        <v>397</v>
      </c>
      <c r="B77" s="305" t="s">
        <v>401</v>
      </c>
      <c r="C77" s="305" t="s">
        <v>183</v>
      </c>
      <c r="D77" s="305" t="s">
        <v>397</v>
      </c>
      <c r="L77" s="324" t="s">
        <v>579</v>
      </c>
      <c r="M77" s="325" t="s">
        <v>578</v>
      </c>
    </row>
    <row r="78" spans="1:13">
      <c r="A78" s="305" t="s">
        <v>397</v>
      </c>
      <c r="B78" s="305" t="s">
        <v>402</v>
      </c>
      <c r="C78" s="305" t="s">
        <v>184</v>
      </c>
      <c r="D78" s="305" t="s">
        <v>397</v>
      </c>
      <c r="L78" s="324" t="s">
        <v>581</v>
      </c>
      <c r="M78" s="325" t="s">
        <v>580</v>
      </c>
    </row>
    <row r="79" spans="1:13">
      <c r="A79" s="305" t="s">
        <v>397</v>
      </c>
      <c r="B79" s="305" t="s">
        <v>403</v>
      </c>
      <c r="C79" s="305" t="s">
        <v>185</v>
      </c>
      <c r="D79" s="305" t="s">
        <v>397</v>
      </c>
      <c r="L79" s="324" t="s">
        <v>583</v>
      </c>
      <c r="M79" s="325" t="s">
        <v>582</v>
      </c>
    </row>
    <row r="80" spans="1:13">
      <c r="A80" s="305" t="s">
        <v>397</v>
      </c>
      <c r="B80" s="305" t="s">
        <v>404</v>
      </c>
      <c r="C80" s="305" t="s">
        <v>186</v>
      </c>
      <c r="D80" s="305" t="s">
        <v>397</v>
      </c>
      <c r="L80" s="324" t="s">
        <v>585</v>
      </c>
      <c r="M80" s="325" t="s">
        <v>584</v>
      </c>
    </row>
    <row r="81" spans="1:13">
      <c r="A81" s="305" t="s">
        <v>397</v>
      </c>
      <c r="B81" s="305" t="s">
        <v>405</v>
      </c>
      <c r="C81" s="305" t="s">
        <v>187</v>
      </c>
      <c r="D81" s="305" t="s">
        <v>397</v>
      </c>
      <c r="L81" s="324" t="s">
        <v>587</v>
      </c>
      <c r="M81" s="325" t="s">
        <v>586</v>
      </c>
    </row>
    <row r="82" spans="1:13">
      <c r="A82" s="305" t="s">
        <v>397</v>
      </c>
      <c r="B82" s="305" t="s">
        <v>406</v>
      </c>
      <c r="C82" s="305" t="s">
        <v>188</v>
      </c>
      <c r="D82" s="305" t="s">
        <v>397</v>
      </c>
      <c r="L82" s="324" t="s">
        <v>589</v>
      </c>
      <c r="M82" s="325" t="s">
        <v>588</v>
      </c>
    </row>
    <row r="83" spans="1:13">
      <c r="A83" s="305" t="s">
        <v>397</v>
      </c>
      <c r="B83" s="305" t="s">
        <v>407</v>
      </c>
      <c r="C83" s="305" t="s">
        <v>189</v>
      </c>
      <c r="D83" s="305" t="s">
        <v>397</v>
      </c>
      <c r="L83" s="324" t="s">
        <v>591</v>
      </c>
      <c r="M83" s="325" t="s">
        <v>590</v>
      </c>
    </row>
    <row r="84" spans="1:13">
      <c r="A84" s="305" t="s">
        <v>397</v>
      </c>
      <c r="B84" s="305" t="s">
        <v>408</v>
      </c>
      <c r="C84" s="305" t="s">
        <v>190</v>
      </c>
      <c r="D84" s="305" t="s">
        <v>397</v>
      </c>
      <c r="L84" s="324" t="s">
        <v>593</v>
      </c>
      <c r="M84" s="325" t="s">
        <v>592</v>
      </c>
    </row>
    <row r="85" spans="1:13">
      <c r="A85" s="305" t="s">
        <v>397</v>
      </c>
      <c r="B85" s="305" t="s">
        <v>409</v>
      </c>
      <c r="C85" s="305" t="s">
        <v>191</v>
      </c>
      <c r="D85" s="305" t="s">
        <v>397</v>
      </c>
      <c r="L85" s="324" t="s">
        <v>595</v>
      </c>
      <c r="M85" s="325" t="s">
        <v>594</v>
      </c>
    </row>
    <row r="86" spans="1:13">
      <c r="A86" s="305" t="s">
        <v>410</v>
      </c>
      <c r="B86" s="305" t="s">
        <v>411</v>
      </c>
      <c r="C86" s="305" t="s">
        <v>192</v>
      </c>
      <c r="D86" s="305" t="s">
        <v>410</v>
      </c>
      <c r="L86" s="324" t="s">
        <v>597</v>
      </c>
      <c r="M86" s="325" t="s">
        <v>596</v>
      </c>
    </row>
    <row r="87" spans="1:13">
      <c r="A87" s="305" t="s">
        <v>412</v>
      </c>
      <c r="B87" s="305" t="s">
        <v>413</v>
      </c>
      <c r="C87" s="305" t="s">
        <v>193</v>
      </c>
      <c r="D87" s="305" t="s">
        <v>412</v>
      </c>
      <c r="L87" s="324" t="s">
        <v>599</v>
      </c>
      <c r="M87" s="325" t="s">
        <v>598</v>
      </c>
    </row>
    <row r="88" spans="1:13">
      <c r="A88" s="305" t="s">
        <v>412</v>
      </c>
      <c r="B88" s="305" t="s">
        <v>414</v>
      </c>
      <c r="C88" s="305" t="s">
        <v>194</v>
      </c>
      <c r="D88" s="305" t="s">
        <v>412</v>
      </c>
      <c r="L88" s="324" t="s">
        <v>601</v>
      </c>
      <c r="M88" s="325" t="s">
        <v>600</v>
      </c>
    </row>
    <row r="89" spans="1:13">
      <c r="A89" s="305" t="s">
        <v>412</v>
      </c>
      <c r="B89" s="305" t="s">
        <v>415</v>
      </c>
      <c r="C89" s="305" t="s">
        <v>195</v>
      </c>
      <c r="D89" s="305" t="s">
        <v>412</v>
      </c>
      <c r="L89" s="324" t="s">
        <v>603</v>
      </c>
      <c r="M89" s="325" t="s">
        <v>602</v>
      </c>
    </row>
    <row r="90" spans="1:13">
      <c r="A90" s="305" t="s">
        <v>412</v>
      </c>
      <c r="B90" s="305" t="s">
        <v>416</v>
      </c>
      <c r="C90" s="305" t="s">
        <v>196</v>
      </c>
      <c r="D90" s="305" t="s">
        <v>412</v>
      </c>
      <c r="L90" s="324" t="s">
        <v>605</v>
      </c>
      <c r="M90" s="325" t="s">
        <v>604</v>
      </c>
    </row>
    <row r="91" spans="1:13">
      <c r="A91" s="305" t="s">
        <v>412</v>
      </c>
      <c r="B91" s="305" t="s">
        <v>417</v>
      </c>
      <c r="C91" s="305" t="s">
        <v>197</v>
      </c>
      <c r="D91" s="305" t="s">
        <v>412</v>
      </c>
      <c r="L91" s="324" t="s">
        <v>607</v>
      </c>
      <c r="M91" s="325" t="s">
        <v>606</v>
      </c>
    </row>
    <row r="92" spans="1:13">
      <c r="A92" s="305" t="s">
        <v>412</v>
      </c>
      <c r="B92" s="305" t="s">
        <v>418</v>
      </c>
      <c r="C92" s="305" t="s">
        <v>198</v>
      </c>
      <c r="D92" s="305" t="s">
        <v>412</v>
      </c>
      <c r="L92" s="324" t="s">
        <v>609</v>
      </c>
      <c r="M92" s="325" t="s">
        <v>608</v>
      </c>
    </row>
    <row r="93" spans="1:13">
      <c r="A93" s="305" t="s">
        <v>412</v>
      </c>
      <c r="B93" s="305" t="s">
        <v>420</v>
      </c>
      <c r="C93" s="305" t="s">
        <v>419</v>
      </c>
      <c r="D93" s="305" t="s">
        <v>412</v>
      </c>
      <c r="L93" s="324" t="s">
        <v>611</v>
      </c>
      <c r="M93" s="325" t="s">
        <v>610</v>
      </c>
    </row>
    <row r="94" spans="1:13">
      <c r="A94" s="305" t="s">
        <v>421</v>
      </c>
      <c r="B94" s="305" t="s">
        <v>422</v>
      </c>
      <c r="C94" s="305" t="s">
        <v>199</v>
      </c>
      <c r="D94" s="305" t="s">
        <v>421</v>
      </c>
      <c r="L94" s="324" t="s">
        <v>613</v>
      </c>
      <c r="M94" s="325" t="s">
        <v>612</v>
      </c>
    </row>
    <row r="95" spans="1:13">
      <c r="A95" s="305" t="s">
        <v>421</v>
      </c>
      <c r="B95" s="305" t="s">
        <v>423</v>
      </c>
      <c r="C95" s="305" t="s">
        <v>200</v>
      </c>
      <c r="D95" s="305" t="s">
        <v>421</v>
      </c>
      <c r="L95" s="324" t="s">
        <v>615</v>
      </c>
      <c r="M95" s="325" t="s">
        <v>614</v>
      </c>
    </row>
    <row r="96" spans="1:13">
      <c r="A96" s="305" t="s">
        <v>421</v>
      </c>
      <c r="B96" s="305" t="s">
        <v>424</v>
      </c>
      <c r="C96" s="305" t="s">
        <v>201</v>
      </c>
      <c r="D96" s="305" t="s">
        <v>421</v>
      </c>
      <c r="L96" s="324" t="s">
        <v>617</v>
      </c>
      <c r="M96" s="325" t="s">
        <v>616</v>
      </c>
    </row>
    <row r="97" spans="1:13">
      <c r="A97" s="305" t="s">
        <v>421</v>
      </c>
      <c r="B97" s="305" t="s">
        <v>425</v>
      </c>
      <c r="C97" s="305" t="s">
        <v>202</v>
      </c>
      <c r="D97" s="305" t="s">
        <v>421</v>
      </c>
      <c r="L97" s="324" t="s">
        <v>619</v>
      </c>
      <c r="M97" s="325" t="s">
        <v>618</v>
      </c>
    </row>
    <row r="98" spans="1:13">
      <c r="A98" s="305" t="s">
        <v>421</v>
      </c>
      <c r="B98" s="305" t="s">
        <v>426</v>
      </c>
      <c r="C98" s="305" t="s">
        <v>203</v>
      </c>
      <c r="D98" s="305" t="s">
        <v>421</v>
      </c>
      <c r="L98" s="324" t="s">
        <v>621</v>
      </c>
      <c r="M98" s="325" t="s">
        <v>620</v>
      </c>
    </row>
    <row r="99" spans="1:13">
      <c r="B99" s="281"/>
      <c r="C99" s="281" t="s">
        <v>427</v>
      </c>
      <c r="L99" s="324" t="s">
        <v>624</v>
      </c>
      <c r="M99" s="325" t="s">
        <v>147</v>
      </c>
    </row>
    <row r="100" spans="1:13">
      <c r="B100" s="281" t="s">
        <v>429</v>
      </c>
      <c r="C100" s="281" t="s">
        <v>428</v>
      </c>
      <c r="L100" s="324" t="s">
        <v>625</v>
      </c>
      <c r="M100" s="325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H506"/>
  <sheetViews>
    <sheetView showGridLines="0" topLeftCell="A260" workbookViewId="0">
      <selection activeCell="G20" sqref="G20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8">
      <c r="A145" t="s">
        <v>740</v>
      </c>
      <c r="B145" t="s">
        <v>771</v>
      </c>
      <c r="C145">
        <v>5315959595</v>
      </c>
      <c r="D145" t="s">
        <v>740</v>
      </c>
    </row>
    <row r="148" spans="1:8">
      <c r="A148" t="s">
        <v>772</v>
      </c>
      <c r="B148" t="s">
        <v>1280</v>
      </c>
      <c r="C148">
        <v>6209020609</v>
      </c>
      <c r="D148" t="s">
        <v>772</v>
      </c>
      <c r="H148" t="s">
        <v>1280</v>
      </c>
    </row>
    <row r="149" spans="1:8">
      <c r="A149" t="s">
        <v>772</v>
      </c>
      <c r="B149" t="s">
        <v>1281</v>
      </c>
      <c r="C149">
        <v>6209020602</v>
      </c>
      <c r="D149" t="s">
        <v>772</v>
      </c>
    </row>
    <row r="150" spans="1:8">
      <c r="A150" t="s">
        <v>772</v>
      </c>
      <c r="B150" t="s">
        <v>1282</v>
      </c>
      <c r="C150">
        <v>6209020601</v>
      </c>
      <c r="D150" t="s">
        <v>772</v>
      </c>
    </row>
    <row r="151" spans="1:8">
      <c r="A151" t="s">
        <v>772</v>
      </c>
      <c r="B151" t="s">
        <v>1283</v>
      </c>
      <c r="C151">
        <v>6209020605</v>
      </c>
      <c r="D151" t="s">
        <v>772</v>
      </c>
    </row>
    <row r="152" spans="1:8">
      <c r="A152" t="s">
        <v>772</v>
      </c>
      <c r="B152" t="s">
        <v>1284</v>
      </c>
      <c r="C152">
        <v>6209020607</v>
      </c>
      <c r="D152" t="s">
        <v>772</v>
      </c>
    </row>
    <row r="153" spans="1:8">
      <c r="A153" t="s">
        <v>772</v>
      </c>
      <c r="B153" t="s">
        <v>1285</v>
      </c>
      <c r="C153">
        <v>6209020608</v>
      </c>
      <c r="D153" t="s">
        <v>772</v>
      </c>
    </row>
    <row r="154" spans="1:8">
      <c r="A154" t="s">
        <v>772</v>
      </c>
      <c r="B154" t="s">
        <v>1286</v>
      </c>
      <c r="C154">
        <v>6209020603</v>
      </c>
      <c r="D154" t="s">
        <v>772</v>
      </c>
    </row>
    <row r="155" spans="1:8">
      <c r="A155" t="s">
        <v>772</v>
      </c>
      <c r="B155" t="s">
        <v>1287</v>
      </c>
      <c r="C155">
        <v>6209020604</v>
      </c>
      <c r="D155" t="s">
        <v>772</v>
      </c>
    </row>
    <row r="156" spans="1:8">
      <c r="A156" t="s">
        <v>772</v>
      </c>
      <c r="B156" t="s">
        <v>1288</v>
      </c>
      <c r="C156">
        <v>6209020610</v>
      </c>
      <c r="D156" t="s">
        <v>772</v>
      </c>
    </row>
    <row r="157" spans="1:8">
      <c r="A157" t="s">
        <v>772</v>
      </c>
      <c r="B157" t="s">
        <v>1289</v>
      </c>
      <c r="C157">
        <v>6209020606</v>
      </c>
      <c r="D157" t="s">
        <v>772</v>
      </c>
    </row>
    <row r="158" spans="1:8">
      <c r="A158" t="s">
        <v>772</v>
      </c>
      <c r="B158" t="s">
        <v>1290</v>
      </c>
      <c r="C158">
        <v>6209022302</v>
      </c>
      <c r="D158" t="s">
        <v>772</v>
      </c>
    </row>
    <row r="159" spans="1:8">
      <c r="A159" t="s">
        <v>772</v>
      </c>
      <c r="B159" t="s">
        <v>1291</v>
      </c>
      <c r="C159">
        <v>6209022301</v>
      </c>
      <c r="D159" t="s">
        <v>772</v>
      </c>
    </row>
    <row r="160" spans="1:8">
      <c r="A160" t="s">
        <v>772</v>
      </c>
      <c r="B160" t="s">
        <v>1292</v>
      </c>
      <c r="C160">
        <v>6209022303</v>
      </c>
      <c r="D160" t="s">
        <v>772</v>
      </c>
    </row>
    <row r="161" spans="1:4">
      <c r="A161" t="s">
        <v>772</v>
      </c>
      <c r="B161" t="s">
        <v>1293</v>
      </c>
      <c r="C161">
        <v>6209100402</v>
      </c>
      <c r="D161" t="s">
        <v>772</v>
      </c>
    </row>
    <row r="162" spans="1:4">
      <c r="A162" t="s">
        <v>772</v>
      </c>
      <c r="B162" t="s">
        <v>1294</v>
      </c>
      <c r="C162">
        <v>6209100401</v>
      </c>
      <c r="D162" t="s">
        <v>772</v>
      </c>
    </row>
    <row r="163" spans="1:4">
      <c r="A163" t="s">
        <v>772</v>
      </c>
      <c r="B163" t="s">
        <v>1295</v>
      </c>
      <c r="C163">
        <v>6209100303</v>
      </c>
      <c r="D163" t="s">
        <v>772</v>
      </c>
    </row>
    <row r="164" spans="1:4">
      <c r="A164" t="s">
        <v>772</v>
      </c>
      <c r="B164" t="s">
        <v>1296</v>
      </c>
      <c r="C164">
        <v>6209100301</v>
      </c>
      <c r="D164" t="s">
        <v>772</v>
      </c>
    </row>
    <row r="165" spans="1:4">
      <c r="A165" t="s">
        <v>772</v>
      </c>
      <c r="B165" t="s">
        <v>1297</v>
      </c>
      <c r="C165">
        <v>6209100501</v>
      </c>
      <c r="D165" t="s">
        <v>772</v>
      </c>
    </row>
    <row r="166" spans="1:4">
      <c r="A166" t="s">
        <v>772</v>
      </c>
      <c r="B166" t="s">
        <v>1298</v>
      </c>
      <c r="C166">
        <v>6209020902</v>
      </c>
      <c r="D166" t="s">
        <v>772</v>
      </c>
    </row>
    <row r="167" spans="1:4">
      <c r="A167" t="s">
        <v>772</v>
      </c>
      <c r="B167" t="s">
        <v>1299</v>
      </c>
      <c r="C167">
        <v>6209020901</v>
      </c>
      <c r="D167" t="s">
        <v>772</v>
      </c>
    </row>
    <row r="168" spans="1:4">
      <c r="A168" t="s">
        <v>772</v>
      </c>
      <c r="B168" t="s">
        <v>1300</v>
      </c>
      <c r="C168">
        <v>6209020101</v>
      </c>
      <c r="D168" t="s">
        <v>772</v>
      </c>
    </row>
    <row r="169" spans="1:4">
      <c r="A169" t="s">
        <v>772</v>
      </c>
      <c r="B169" t="s">
        <v>1301</v>
      </c>
      <c r="C169">
        <v>6209021201</v>
      </c>
      <c r="D169" t="s">
        <v>772</v>
      </c>
    </row>
    <row r="170" spans="1:4">
      <c r="A170" t="s">
        <v>772</v>
      </c>
      <c r="B170" t="s">
        <v>1302</v>
      </c>
      <c r="C170">
        <v>6209021202</v>
      </c>
      <c r="D170" t="s">
        <v>772</v>
      </c>
    </row>
    <row r="171" spans="1:4">
      <c r="A171" t="s">
        <v>772</v>
      </c>
      <c r="B171" t="s">
        <v>1303</v>
      </c>
      <c r="C171">
        <v>6209021203</v>
      </c>
      <c r="D171" t="s">
        <v>772</v>
      </c>
    </row>
    <row r="172" spans="1:4">
      <c r="A172" t="s">
        <v>772</v>
      </c>
      <c r="B172" t="s">
        <v>1304</v>
      </c>
      <c r="C172">
        <v>6209021204</v>
      </c>
      <c r="D172" t="s">
        <v>772</v>
      </c>
    </row>
    <row r="173" spans="1:4">
      <c r="A173" t="s">
        <v>772</v>
      </c>
      <c r="B173" t="s">
        <v>1305</v>
      </c>
      <c r="C173">
        <v>6209022002</v>
      </c>
      <c r="D173" t="s">
        <v>772</v>
      </c>
    </row>
    <row r="174" spans="1:4">
      <c r="A174" t="s">
        <v>772</v>
      </c>
      <c r="B174" t="s">
        <v>1306</v>
      </c>
      <c r="C174">
        <v>6209022001</v>
      </c>
      <c r="D174" t="s">
        <v>772</v>
      </c>
    </row>
    <row r="175" spans="1:4">
      <c r="A175" t="s">
        <v>772</v>
      </c>
      <c r="B175" t="s">
        <v>1307</v>
      </c>
      <c r="C175">
        <v>6209022201</v>
      </c>
      <c r="D175" t="s">
        <v>772</v>
      </c>
    </row>
    <row r="176" spans="1:4">
      <c r="A176" t="s">
        <v>772</v>
      </c>
      <c r="B176" t="s">
        <v>1308</v>
      </c>
      <c r="C176">
        <v>6209020501</v>
      </c>
      <c r="D176" t="s">
        <v>772</v>
      </c>
    </row>
    <row r="177" spans="1:4">
      <c r="A177" t="s">
        <v>772</v>
      </c>
      <c r="B177" t="s">
        <v>1309</v>
      </c>
      <c r="C177">
        <v>6209020505</v>
      </c>
      <c r="D177" t="s">
        <v>772</v>
      </c>
    </row>
    <row r="178" spans="1:4">
      <c r="A178" t="s">
        <v>772</v>
      </c>
      <c r="B178" t="s">
        <v>1310</v>
      </c>
      <c r="C178">
        <v>6209020503</v>
      </c>
      <c r="D178" t="s">
        <v>772</v>
      </c>
    </row>
    <row r="179" spans="1:4">
      <c r="A179" t="s">
        <v>772</v>
      </c>
      <c r="B179" t="s">
        <v>1311</v>
      </c>
      <c r="C179">
        <v>6209021601</v>
      </c>
      <c r="D179" t="s">
        <v>772</v>
      </c>
    </row>
    <row r="180" spans="1:4">
      <c r="A180" t="s">
        <v>772</v>
      </c>
      <c r="B180" t="s">
        <v>1312</v>
      </c>
      <c r="C180">
        <v>6209021602</v>
      </c>
      <c r="D180" t="s">
        <v>772</v>
      </c>
    </row>
    <row r="181" spans="1:4">
      <c r="A181" t="s">
        <v>772</v>
      </c>
      <c r="B181" t="s">
        <v>1313</v>
      </c>
      <c r="C181">
        <v>6209020202</v>
      </c>
      <c r="D181" t="s">
        <v>772</v>
      </c>
    </row>
    <row r="182" spans="1:4">
      <c r="A182" t="s">
        <v>772</v>
      </c>
      <c r="B182" t="s">
        <v>1314</v>
      </c>
      <c r="C182">
        <v>6209020201</v>
      </c>
      <c r="D182" t="s">
        <v>772</v>
      </c>
    </row>
    <row r="183" spans="1:4">
      <c r="A183" t="s">
        <v>772</v>
      </c>
      <c r="B183" t="s">
        <v>1315</v>
      </c>
      <c r="C183">
        <v>6209020203</v>
      </c>
      <c r="D183" t="s">
        <v>772</v>
      </c>
    </row>
    <row r="184" spans="1:4">
      <c r="A184" t="s">
        <v>772</v>
      </c>
      <c r="B184" t="s">
        <v>1316</v>
      </c>
      <c r="C184">
        <v>6209080106</v>
      </c>
      <c r="D184" t="s">
        <v>772</v>
      </c>
    </row>
    <row r="185" spans="1:4">
      <c r="A185" t="s">
        <v>772</v>
      </c>
      <c r="B185" t="s">
        <v>1317</v>
      </c>
      <c r="C185">
        <v>6209080108</v>
      </c>
      <c r="D185" t="s">
        <v>772</v>
      </c>
    </row>
    <row r="186" spans="1:4">
      <c r="A186" t="s">
        <v>772</v>
      </c>
      <c r="B186" t="s">
        <v>1318</v>
      </c>
      <c r="C186">
        <v>6209080107</v>
      </c>
      <c r="D186" t="s">
        <v>772</v>
      </c>
    </row>
    <row r="187" spans="1:4">
      <c r="A187" t="s">
        <v>772</v>
      </c>
      <c r="B187" t="s">
        <v>1319</v>
      </c>
      <c r="C187">
        <v>6209080101</v>
      </c>
      <c r="D187" t="s">
        <v>772</v>
      </c>
    </row>
    <row r="188" spans="1:4">
      <c r="A188" t="s">
        <v>772</v>
      </c>
      <c r="B188" t="s">
        <v>1320</v>
      </c>
      <c r="C188">
        <v>6209080103</v>
      </c>
      <c r="D188" t="s">
        <v>772</v>
      </c>
    </row>
    <row r="189" spans="1:4">
      <c r="A189" t="s">
        <v>772</v>
      </c>
      <c r="B189" t="s">
        <v>1321</v>
      </c>
      <c r="C189">
        <v>6209080102</v>
      </c>
      <c r="D189" t="s">
        <v>772</v>
      </c>
    </row>
    <row r="190" spans="1:4">
      <c r="A190" t="s">
        <v>772</v>
      </c>
      <c r="B190" t="s">
        <v>1322</v>
      </c>
      <c r="C190">
        <v>6209080104</v>
      </c>
      <c r="D190" t="s">
        <v>772</v>
      </c>
    </row>
    <row r="191" spans="1:4">
      <c r="A191" t="s">
        <v>772</v>
      </c>
      <c r="B191" t="s">
        <v>1323</v>
      </c>
      <c r="C191">
        <v>6209080105</v>
      </c>
      <c r="D191" t="s">
        <v>772</v>
      </c>
    </row>
    <row r="192" spans="1:4">
      <c r="A192" t="s">
        <v>772</v>
      </c>
      <c r="B192" t="s">
        <v>1324</v>
      </c>
      <c r="C192">
        <v>6209021815</v>
      </c>
      <c r="D192" t="s">
        <v>772</v>
      </c>
    </row>
    <row r="193" spans="1:4">
      <c r="A193" t="s">
        <v>772</v>
      </c>
      <c r="B193" t="s">
        <v>1325</v>
      </c>
      <c r="C193">
        <v>6209020709</v>
      </c>
      <c r="D193" t="s">
        <v>772</v>
      </c>
    </row>
    <row r="194" spans="1:4">
      <c r="A194" t="s">
        <v>772</v>
      </c>
      <c r="B194" t="s">
        <v>1326</v>
      </c>
      <c r="C194">
        <v>6209020710</v>
      </c>
      <c r="D194" t="s">
        <v>772</v>
      </c>
    </row>
    <row r="195" spans="1:4">
      <c r="A195" t="s">
        <v>772</v>
      </c>
      <c r="B195" t="s">
        <v>1327</v>
      </c>
      <c r="C195">
        <v>6209020702</v>
      </c>
      <c r="D195" t="s">
        <v>772</v>
      </c>
    </row>
    <row r="196" spans="1:4">
      <c r="A196" t="s">
        <v>772</v>
      </c>
      <c r="B196" t="s">
        <v>1328</v>
      </c>
      <c r="C196">
        <v>6209020701</v>
      </c>
      <c r="D196" t="s">
        <v>772</v>
      </c>
    </row>
    <row r="197" spans="1:4">
      <c r="A197" t="s">
        <v>772</v>
      </c>
      <c r="B197" t="s">
        <v>1329</v>
      </c>
      <c r="C197">
        <v>6209020705</v>
      </c>
      <c r="D197" t="s">
        <v>772</v>
      </c>
    </row>
    <row r="198" spans="1:4">
      <c r="A198" t="s">
        <v>772</v>
      </c>
      <c r="B198" t="s">
        <v>1330</v>
      </c>
      <c r="C198">
        <v>6209020707</v>
      </c>
      <c r="D198" t="s">
        <v>772</v>
      </c>
    </row>
    <row r="199" spans="1:4">
      <c r="A199" t="s">
        <v>772</v>
      </c>
      <c r="B199" t="s">
        <v>1331</v>
      </c>
      <c r="C199">
        <v>6209020708</v>
      </c>
      <c r="D199" t="s">
        <v>772</v>
      </c>
    </row>
    <row r="200" spans="1:4">
      <c r="A200" t="s">
        <v>772</v>
      </c>
      <c r="B200" t="s">
        <v>1332</v>
      </c>
      <c r="C200">
        <v>6209020703</v>
      </c>
      <c r="D200" t="s">
        <v>772</v>
      </c>
    </row>
    <row r="201" spans="1:4">
      <c r="A201" t="s">
        <v>772</v>
      </c>
      <c r="B201" t="s">
        <v>1333</v>
      </c>
      <c r="C201">
        <v>6209020704</v>
      </c>
      <c r="D201" t="s">
        <v>772</v>
      </c>
    </row>
    <row r="202" spans="1:4">
      <c r="A202" t="s">
        <v>772</v>
      </c>
      <c r="B202" t="s">
        <v>1334</v>
      </c>
      <c r="C202">
        <v>6209020712</v>
      </c>
      <c r="D202" t="s">
        <v>772</v>
      </c>
    </row>
    <row r="203" spans="1:4">
      <c r="A203" t="s">
        <v>772</v>
      </c>
      <c r="B203" t="s">
        <v>1335</v>
      </c>
      <c r="C203">
        <v>6209020711</v>
      </c>
      <c r="D203" t="s">
        <v>772</v>
      </c>
    </row>
    <row r="204" spans="1:4">
      <c r="A204" t="s">
        <v>772</v>
      </c>
      <c r="B204" t="s">
        <v>1336</v>
      </c>
      <c r="C204">
        <v>6209020706</v>
      </c>
      <c r="D204" t="s">
        <v>772</v>
      </c>
    </row>
    <row r="205" spans="1:4">
      <c r="A205" t="s">
        <v>772</v>
      </c>
      <c r="B205" t="s">
        <v>1337</v>
      </c>
      <c r="C205">
        <v>6209021801</v>
      </c>
      <c r="D205" t="s">
        <v>772</v>
      </c>
    </row>
    <row r="206" spans="1:4">
      <c r="A206" t="s">
        <v>772</v>
      </c>
      <c r="B206" t="s">
        <v>1338</v>
      </c>
      <c r="C206">
        <v>6209021810</v>
      </c>
      <c r="D206" t="s">
        <v>772</v>
      </c>
    </row>
    <row r="207" spans="1:4">
      <c r="A207" t="s">
        <v>772</v>
      </c>
      <c r="B207" t="s">
        <v>1339</v>
      </c>
      <c r="C207">
        <v>6209021802</v>
      </c>
      <c r="D207" t="s">
        <v>772</v>
      </c>
    </row>
    <row r="208" spans="1:4">
      <c r="A208" t="s">
        <v>772</v>
      </c>
      <c r="B208" t="s">
        <v>1340</v>
      </c>
      <c r="C208">
        <v>6209021808</v>
      </c>
      <c r="D208" t="s">
        <v>772</v>
      </c>
    </row>
    <row r="209" spans="1:4">
      <c r="A209" t="s">
        <v>772</v>
      </c>
      <c r="B209" t="s">
        <v>1341</v>
      </c>
      <c r="C209">
        <v>6209021803</v>
      </c>
      <c r="D209" t="s">
        <v>772</v>
      </c>
    </row>
    <row r="210" spans="1:4">
      <c r="A210" t="s">
        <v>772</v>
      </c>
      <c r="B210" t="s">
        <v>1342</v>
      </c>
      <c r="C210">
        <v>6209021804</v>
      </c>
      <c r="D210" t="s">
        <v>772</v>
      </c>
    </row>
    <row r="211" spans="1:4">
      <c r="A211" t="s">
        <v>772</v>
      </c>
      <c r="B211" t="s">
        <v>1343</v>
      </c>
      <c r="C211">
        <v>6209021809</v>
      </c>
      <c r="D211" t="s">
        <v>772</v>
      </c>
    </row>
    <row r="212" spans="1:4">
      <c r="A212" t="s">
        <v>772</v>
      </c>
      <c r="B212" t="s">
        <v>1344</v>
      </c>
      <c r="C212">
        <v>6209021805</v>
      </c>
      <c r="D212" t="s">
        <v>772</v>
      </c>
    </row>
    <row r="213" spans="1:4">
      <c r="A213" t="s">
        <v>772</v>
      </c>
      <c r="B213" t="s">
        <v>1345</v>
      </c>
      <c r="C213">
        <v>6209021814</v>
      </c>
      <c r="D213" t="s">
        <v>772</v>
      </c>
    </row>
    <row r="214" spans="1:4">
      <c r="A214" t="s">
        <v>772</v>
      </c>
      <c r="B214" t="s">
        <v>1346</v>
      </c>
      <c r="C214">
        <v>6209021806</v>
      </c>
      <c r="D214" t="s">
        <v>772</v>
      </c>
    </row>
    <row r="215" spans="1:4">
      <c r="A215" t="s">
        <v>772</v>
      </c>
      <c r="B215" t="s">
        <v>1347</v>
      </c>
      <c r="C215">
        <v>6209021807</v>
      </c>
      <c r="D215" t="s">
        <v>772</v>
      </c>
    </row>
    <row r="216" spans="1:4">
      <c r="A216" t="s">
        <v>772</v>
      </c>
      <c r="B216" t="s">
        <v>1348</v>
      </c>
      <c r="C216">
        <v>6209021002</v>
      </c>
      <c r="D216" t="s">
        <v>772</v>
      </c>
    </row>
    <row r="217" spans="1:4">
      <c r="A217" t="s">
        <v>772</v>
      </c>
      <c r="B217" t="s">
        <v>1349</v>
      </c>
      <c r="C217">
        <v>6209021001</v>
      </c>
      <c r="D217" t="s">
        <v>772</v>
      </c>
    </row>
    <row r="218" spans="1:4">
      <c r="A218" t="s">
        <v>772</v>
      </c>
      <c r="B218" t="s">
        <v>1350</v>
      </c>
      <c r="C218">
        <v>6209021007</v>
      </c>
      <c r="D218" t="s">
        <v>772</v>
      </c>
    </row>
    <row r="219" spans="1:4">
      <c r="A219" t="s">
        <v>772</v>
      </c>
      <c r="B219" t="s">
        <v>1351</v>
      </c>
      <c r="C219">
        <v>6209021005</v>
      </c>
      <c r="D219" t="s">
        <v>772</v>
      </c>
    </row>
    <row r="220" spans="1:4">
      <c r="A220" t="s">
        <v>772</v>
      </c>
      <c r="B220" t="s">
        <v>1352</v>
      </c>
      <c r="C220">
        <v>6209021006</v>
      </c>
      <c r="D220" t="s">
        <v>772</v>
      </c>
    </row>
    <row r="221" spans="1:4">
      <c r="A221" t="s">
        <v>772</v>
      </c>
      <c r="B221" t="s">
        <v>1353</v>
      </c>
      <c r="C221">
        <v>6209021008</v>
      </c>
      <c r="D221" t="s">
        <v>772</v>
      </c>
    </row>
    <row r="222" spans="1:4">
      <c r="A222" t="s">
        <v>772</v>
      </c>
      <c r="B222" t="s">
        <v>1354</v>
      </c>
      <c r="C222">
        <v>6209021004</v>
      </c>
      <c r="D222" t="s">
        <v>772</v>
      </c>
    </row>
    <row r="223" spans="1:4">
      <c r="A223" t="s">
        <v>772</v>
      </c>
      <c r="B223" t="s">
        <v>1355</v>
      </c>
      <c r="C223">
        <v>6209021003</v>
      </c>
      <c r="D223" t="s">
        <v>772</v>
      </c>
    </row>
    <row r="224" spans="1:4">
      <c r="A224" t="s">
        <v>772</v>
      </c>
      <c r="B224" t="s">
        <v>1356</v>
      </c>
      <c r="C224">
        <v>6209021301</v>
      </c>
      <c r="D224" t="s">
        <v>772</v>
      </c>
    </row>
    <row r="225" spans="1:4">
      <c r="A225" t="s">
        <v>772</v>
      </c>
      <c r="B225" t="s">
        <v>1357</v>
      </c>
      <c r="C225">
        <v>6209020803</v>
      </c>
      <c r="D225" t="s">
        <v>772</v>
      </c>
    </row>
    <row r="226" spans="1:4">
      <c r="A226" t="s">
        <v>772</v>
      </c>
      <c r="B226" t="s">
        <v>1358</v>
      </c>
      <c r="C226">
        <v>6209020802</v>
      </c>
      <c r="D226" t="s">
        <v>772</v>
      </c>
    </row>
    <row r="227" spans="1:4">
      <c r="A227" t="s">
        <v>772</v>
      </c>
      <c r="B227" t="s">
        <v>1359</v>
      </c>
      <c r="C227">
        <v>6209020807</v>
      </c>
      <c r="D227" t="s">
        <v>772</v>
      </c>
    </row>
    <row r="228" spans="1:4">
      <c r="A228" t="s">
        <v>772</v>
      </c>
      <c r="B228" t="s">
        <v>1360</v>
      </c>
      <c r="C228">
        <v>6209020804</v>
      </c>
      <c r="D228" t="s">
        <v>772</v>
      </c>
    </row>
    <row r="229" spans="1:4">
      <c r="A229" t="s">
        <v>772</v>
      </c>
      <c r="B229" t="s">
        <v>1361</v>
      </c>
      <c r="C229">
        <v>6209020812</v>
      </c>
      <c r="D229" t="s">
        <v>772</v>
      </c>
    </row>
    <row r="230" spans="1:4">
      <c r="A230" t="s">
        <v>772</v>
      </c>
      <c r="B230" t="s">
        <v>1362</v>
      </c>
      <c r="C230">
        <v>6209020801</v>
      </c>
      <c r="D230" t="s">
        <v>772</v>
      </c>
    </row>
    <row r="231" spans="1:4">
      <c r="A231" t="s">
        <v>772</v>
      </c>
      <c r="B231" t="s">
        <v>1363</v>
      </c>
      <c r="C231">
        <v>6209020811</v>
      </c>
      <c r="D231" t="s">
        <v>772</v>
      </c>
    </row>
    <row r="232" spans="1:4">
      <c r="A232" t="s">
        <v>772</v>
      </c>
      <c r="B232" t="s">
        <v>1364</v>
      </c>
      <c r="C232">
        <v>6209020814</v>
      </c>
      <c r="D232" t="s">
        <v>772</v>
      </c>
    </row>
    <row r="233" spans="1:4">
      <c r="A233" t="s">
        <v>772</v>
      </c>
      <c r="B233" t="s">
        <v>1365</v>
      </c>
      <c r="C233">
        <v>6209020808</v>
      </c>
      <c r="D233" t="s">
        <v>772</v>
      </c>
    </row>
    <row r="234" spans="1:4">
      <c r="A234" t="s">
        <v>772</v>
      </c>
      <c r="B234" t="s">
        <v>1366</v>
      </c>
      <c r="C234">
        <v>6209020809</v>
      </c>
      <c r="D234" t="s">
        <v>772</v>
      </c>
    </row>
    <row r="235" spans="1:4">
      <c r="A235" t="s">
        <v>772</v>
      </c>
      <c r="B235" t="s">
        <v>1367</v>
      </c>
      <c r="C235">
        <v>6209020810</v>
      </c>
      <c r="D235" t="s">
        <v>772</v>
      </c>
    </row>
    <row r="236" spans="1:4">
      <c r="A236" t="s">
        <v>772</v>
      </c>
      <c r="B236" t="s">
        <v>1368</v>
      </c>
      <c r="C236">
        <v>6209020806</v>
      </c>
      <c r="D236" t="s">
        <v>772</v>
      </c>
    </row>
    <row r="237" spans="1:4">
      <c r="A237" t="s">
        <v>772</v>
      </c>
      <c r="B237" t="s">
        <v>1369</v>
      </c>
      <c r="C237">
        <v>6209020805</v>
      </c>
      <c r="D237" t="s">
        <v>772</v>
      </c>
    </row>
    <row r="238" spans="1:4">
      <c r="A238" t="s">
        <v>772</v>
      </c>
      <c r="B238" t="s">
        <v>1370</v>
      </c>
      <c r="C238">
        <v>6209020813</v>
      </c>
      <c r="D238" t="s">
        <v>772</v>
      </c>
    </row>
    <row r="239" spans="1:4">
      <c r="A239" t="s">
        <v>772</v>
      </c>
      <c r="B239" t="s">
        <v>1371</v>
      </c>
      <c r="C239">
        <v>6209021401</v>
      </c>
      <c r="D239" t="s">
        <v>772</v>
      </c>
    </row>
    <row r="240" spans="1:4">
      <c r="A240" t="s">
        <v>772</v>
      </c>
      <c r="B240" t="s">
        <v>1372</v>
      </c>
      <c r="C240">
        <v>6209021402</v>
      </c>
      <c r="D240" t="s">
        <v>772</v>
      </c>
    </row>
    <row r="241" spans="1:4">
      <c r="A241" t="s">
        <v>772</v>
      </c>
      <c r="B241" t="s">
        <v>1373</v>
      </c>
      <c r="C241">
        <v>6209021501</v>
      </c>
      <c r="D241" t="s">
        <v>772</v>
      </c>
    </row>
    <row r="242" spans="1:4">
      <c r="A242" t="s">
        <v>772</v>
      </c>
      <c r="B242" t="s">
        <v>1374</v>
      </c>
      <c r="C242">
        <v>6209020402</v>
      </c>
      <c r="D242" t="s">
        <v>772</v>
      </c>
    </row>
    <row r="243" spans="1:4">
      <c r="A243" t="s">
        <v>772</v>
      </c>
      <c r="B243" t="s">
        <v>1375</v>
      </c>
      <c r="C243">
        <v>6209020401</v>
      </c>
      <c r="D243" t="s">
        <v>772</v>
      </c>
    </row>
    <row r="244" spans="1:4">
      <c r="A244" t="s">
        <v>772</v>
      </c>
      <c r="B244" t="s">
        <v>1376</v>
      </c>
      <c r="C244">
        <v>6209020403</v>
      </c>
      <c r="D244" t="s">
        <v>772</v>
      </c>
    </row>
    <row r="245" spans="1:4">
      <c r="A245" t="s">
        <v>772</v>
      </c>
      <c r="B245" t="s">
        <v>1377</v>
      </c>
      <c r="C245">
        <v>6209020407</v>
      </c>
      <c r="D245" t="s">
        <v>772</v>
      </c>
    </row>
    <row r="246" spans="1:4">
      <c r="A246" t="s">
        <v>772</v>
      </c>
      <c r="B246" t="s">
        <v>1378</v>
      </c>
      <c r="C246">
        <v>6209020406</v>
      </c>
      <c r="D246" t="s">
        <v>772</v>
      </c>
    </row>
    <row r="247" spans="1:4">
      <c r="A247" t="s">
        <v>772</v>
      </c>
      <c r="B247" t="s">
        <v>1379</v>
      </c>
      <c r="C247">
        <v>6209020404</v>
      </c>
      <c r="D247" t="s">
        <v>772</v>
      </c>
    </row>
    <row r="248" spans="1:4">
      <c r="A248" t="s">
        <v>772</v>
      </c>
      <c r="B248" t="s">
        <v>1380</v>
      </c>
      <c r="C248">
        <v>6209020405</v>
      </c>
      <c r="D248" t="s">
        <v>772</v>
      </c>
    </row>
    <row r="249" spans="1:4">
      <c r="A249" t="s">
        <v>772</v>
      </c>
      <c r="B249" t="s">
        <v>1381</v>
      </c>
      <c r="C249">
        <v>6209020408</v>
      </c>
      <c r="D249" t="s">
        <v>772</v>
      </c>
    </row>
    <row r="250" spans="1:4">
      <c r="A250" t="s">
        <v>772</v>
      </c>
      <c r="B250" t="s">
        <v>1382</v>
      </c>
      <c r="C250">
        <v>6209020301</v>
      </c>
      <c r="D250" t="s">
        <v>772</v>
      </c>
    </row>
    <row r="251" spans="1:4">
      <c r="A251" t="s">
        <v>772</v>
      </c>
      <c r="B251" t="s">
        <v>1383</v>
      </c>
      <c r="C251">
        <v>6209020305</v>
      </c>
      <c r="D251" t="s">
        <v>772</v>
      </c>
    </row>
    <row r="252" spans="1:4">
      <c r="A252" t="s">
        <v>772</v>
      </c>
      <c r="B252" t="s">
        <v>1384</v>
      </c>
      <c r="C252">
        <v>6209020307</v>
      </c>
      <c r="D252" t="s">
        <v>772</v>
      </c>
    </row>
    <row r="253" spans="1:4">
      <c r="A253" t="s">
        <v>772</v>
      </c>
      <c r="B253" t="s">
        <v>1385</v>
      </c>
      <c r="C253">
        <v>6209020306</v>
      </c>
      <c r="D253" t="s">
        <v>772</v>
      </c>
    </row>
    <row r="254" spans="1:4">
      <c r="A254" t="s">
        <v>772</v>
      </c>
      <c r="B254" t="s">
        <v>1386</v>
      </c>
      <c r="C254">
        <v>6209020308</v>
      </c>
      <c r="D254" t="s">
        <v>772</v>
      </c>
    </row>
    <row r="255" spans="1:4">
      <c r="A255" t="s">
        <v>772</v>
      </c>
      <c r="B255" t="s">
        <v>1387</v>
      </c>
      <c r="C255">
        <v>6209020310</v>
      </c>
      <c r="D255" t="s">
        <v>772</v>
      </c>
    </row>
    <row r="256" spans="1:4">
      <c r="A256" t="s">
        <v>772</v>
      </c>
      <c r="B256" t="s">
        <v>1388</v>
      </c>
      <c r="C256">
        <v>6209020311</v>
      </c>
      <c r="D256" t="s">
        <v>772</v>
      </c>
    </row>
    <row r="257" spans="1:4">
      <c r="A257" t="s">
        <v>772</v>
      </c>
      <c r="B257" t="s">
        <v>1389</v>
      </c>
      <c r="C257">
        <v>6209020312</v>
      </c>
      <c r="D257" t="s">
        <v>772</v>
      </c>
    </row>
    <row r="258" spans="1:4">
      <c r="A258" t="s">
        <v>772</v>
      </c>
      <c r="B258" t="s">
        <v>1390</v>
      </c>
      <c r="C258">
        <v>6209020302</v>
      </c>
      <c r="D258" t="s">
        <v>772</v>
      </c>
    </row>
    <row r="259" spans="1:4">
      <c r="A259" t="s">
        <v>772</v>
      </c>
      <c r="B259" t="s">
        <v>1391</v>
      </c>
      <c r="C259">
        <v>6209020303</v>
      </c>
      <c r="D259" t="s">
        <v>772</v>
      </c>
    </row>
    <row r="260" spans="1:4">
      <c r="A260" t="s">
        <v>772</v>
      </c>
      <c r="B260" t="s">
        <v>1392</v>
      </c>
      <c r="C260">
        <v>6209020309</v>
      </c>
      <c r="D260" t="s">
        <v>772</v>
      </c>
    </row>
    <row r="261" spans="1:4">
      <c r="A261" t="s">
        <v>772</v>
      </c>
      <c r="B261" t="s">
        <v>1393</v>
      </c>
      <c r="C261">
        <v>6209020304</v>
      </c>
      <c r="D261" t="s">
        <v>772</v>
      </c>
    </row>
    <row r="264" spans="1:4">
      <c r="A264" t="s">
        <v>467</v>
      </c>
      <c r="B264" t="s">
        <v>773</v>
      </c>
      <c r="C264">
        <v>6208020609</v>
      </c>
      <c r="D264" t="s">
        <v>467</v>
      </c>
    </row>
    <row r="265" spans="1:4">
      <c r="A265" t="s">
        <v>467</v>
      </c>
      <c r="B265" t="s">
        <v>774</v>
      </c>
      <c r="C265">
        <v>6208020602</v>
      </c>
      <c r="D265" t="s">
        <v>467</v>
      </c>
    </row>
    <row r="266" spans="1:4">
      <c r="A266" t="s">
        <v>467</v>
      </c>
      <c r="B266" t="s">
        <v>775</v>
      </c>
      <c r="C266">
        <v>6208020601</v>
      </c>
      <c r="D266" t="s">
        <v>467</v>
      </c>
    </row>
    <row r="267" spans="1:4">
      <c r="A267" t="s">
        <v>467</v>
      </c>
      <c r="B267" t="s">
        <v>776</v>
      </c>
      <c r="C267">
        <v>6208020605</v>
      </c>
      <c r="D267" t="s">
        <v>467</v>
      </c>
    </row>
    <row r="268" spans="1:4">
      <c r="A268" t="s">
        <v>467</v>
      </c>
      <c r="B268" t="s">
        <v>777</v>
      </c>
      <c r="C268">
        <v>6208020607</v>
      </c>
      <c r="D268" t="s">
        <v>467</v>
      </c>
    </row>
    <row r="269" spans="1:4">
      <c r="A269" t="s">
        <v>467</v>
      </c>
      <c r="B269" t="s">
        <v>778</v>
      </c>
      <c r="C269">
        <v>6208020608</v>
      </c>
      <c r="D269" t="s">
        <v>467</v>
      </c>
    </row>
    <row r="270" spans="1:4">
      <c r="A270" t="s">
        <v>467</v>
      </c>
      <c r="B270" t="s">
        <v>779</v>
      </c>
      <c r="C270">
        <v>6208020603</v>
      </c>
      <c r="D270" t="s">
        <v>467</v>
      </c>
    </row>
    <row r="271" spans="1:4">
      <c r="A271" t="s">
        <v>467</v>
      </c>
      <c r="B271" t="s">
        <v>780</v>
      </c>
      <c r="C271">
        <v>6208020604</v>
      </c>
      <c r="D271" t="s">
        <v>467</v>
      </c>
    </row>
    <row r="272" spans="1:4">
      <c r="A272" t="s">
        <v>467</v>
      </c>
      <c r="B272" t="s">
        <v>781</v>
      </c>
      <c r="C272">
        <v>6208020610</v>
      </c>
      <c r="D272" t="s">
        <v>467</v>
      </c>
    </row>
    <row r="273" spans="1:4">
      <c r="A273" t="s">
        <v>467</v>
      </c>
      <c r="B273" t="s">
        <v>782</v>
      </c>
      <c r="C273">
        <v>6208020606</v>
      </c>
      <c r="D273" t="s">
        <v>467</v>
      </c>
    </row>
    <row r="274" spans="1:4">
      <c r="A274" t="s">
        <v>467</v>
      </c>
      <c r="B274" t="s">
        <v>783</v>
      </c>
      <c r="C274">
        <v>6208022302</v>
      </c>
      <c r="D274" t="s">
        <v>467</v>
      </c>
    </row>
    <row r="275" spans="1:4">
      <c r="A275" t="s">
        <v>467</v>
      </c>
      <c r="B275" t="s">
        <v>784</v>
      </c>
      <c r="C275">
        <v>6208022301</v>
      </c>
      <c r="D275" t="s">
        <v>467</v>
      </c>
    </row>
    <row r="276" spans="1:4">
      <c r="A276" t="s">
        <v>467</v>
      </c>
      <c r="B276" t="s">
        <v>785</v>
      </c>
      <c r="C276">
        <v>6208022303</v>
      </c>
      <c r="D276" t="s">
        <v>467</v>
      </c>
    </row>
    <row r="277" spans="1:4">
      <c r="A277" t="s">
        <v>467</v>
      </c>
      <c r="B277" t="s">
        <v>786</v>
      </c>
      <c r="C277">
        <v>6208100303</v>
      </c>
      <c r="D277" t="s">
        <v>467</v>
      </c>
    </row>
    <row r="278" spans="1:4">
      <c r="A278" t="s">
        <v>467</v>
      </c>
      <c r="B278" t="s">
        <v>787</v>
      </c>
      <c r="C278">
        <v>6208100301</v>
      </c>
      <c r="D278" t="s">
        <v>467</v>
      </c>
    </row>
    <row r="279" spans="1:4">
      <c r="A279" t="s">
        <v>467</v>
      </c>
      <c r="B279" t="s">
        <v>788</v>
      </c>
      <c r="C279">
        <v>6208020902</v>
      </c>
      <c r="D279" t="s">
        <v>467</v>
      </c>
    </row>
    <row r="280" spans="1:4">
      <c r="A280" t="s">
        <v>467</v>
      </c>
      <c r="B280" t="s">
        <v>789</v>
      </c>
      <c r="C280">
        <v>6208020901</v>
      </c>
      <c r="D280" t="s">
        <v>467</v>
      </c>
    </row>
    <row r="281" spans="1:4">
      <c r="A281" t="s">
        <v>467</v>
      </c>
      <c r="B281" t="s">
        <v>790</v>
      </c>
      <c r="C281">
        <v>6208020101</v>
      </c>
      <c r="D281" t="s">
        <v>467</v>
      </c>
    </row>
    <row r="282" spans="1:4">
      <c r="A282" t="s">
        <v>467</v>
      </c>
      <c r="B282" t="s">
        <v>791</v>
      </c>
      <c r="C282">
        <v>6208021201</v>
      </c>
      <c r="D282" t="s">
        <v>467</v>
      </c>
    </row>
    <row r="283" spans="1:4">
      <c r="A283" t="s">
        <v>467</v>
      </c>
      <c r="B283" t="s">
        <v>792</v>
      </c>
      <c r="C283">
        <v>6208021202</v>
      </c>
      <c r="D283" t="s">
        <v>467</v>
      </c>
    </row>
    <row r="284" spans="1:4">
      <c r="A284" t="s">
        <v>467</v>
      </c>
      <c r="B284" t="s">
        <v>793</v>
      </c>
      <c r="C284">
        <v>6208021203</v>
      </c>
      <c r="D284" t="s">
        <v>467</v>
      </c>
    </row>
    <row r="285" spans="1:4">
      <c r="A285" t="s">
        <v>467</v>
      </c>
      <c r="B285" t="s">
        <v>794</v>
      </c>
      <c r="C285">
        <v>6208021204</v>
      </c>
      <c r="D285" t="s">
        <v>467</v>
      </c>
    </row>
    <row r="286" spans="1:4">
      <c r="A286" t="s">
        <v>467</v>
      </c>
      <c r="B286" t="s">
        <v>795</v>
      </c>
      <c r="C286">
        <v>6208022002</v>
      </c>
      <c r="D286" t="s">
        <v>467</v>
      </c>
    </row>
    <row r="287" spans="1:4">
      <c r="A287" t="s">
        <v>467</v>
      </c>
      <c r="B287" t="s">
        <v>796</v>
      </c>
      <c r="C287">
        <v>6208022001</v>
      </c>
      <c r="D287" t="s">
        <v>467</v>
      </c>
    </row>
    <row r="288" spans="1:4">
      <c r="A288" t="s">
        <v>467</v>
      </c>
      <c r="B288" t="s">
        <v>797</v>
      </c>
      <c r="C288">
        <v>6208022201</v>
      </c>
      <c r="D288" t="s">
        <v>467</v>
      </c>
    </row>
    <row r="289" spans="1:4">
      <c r="A289" t="s">
        <v>467</v>
      </c>
      <c r="B289" t="s">
        <v>798</v>
      </c>
      <c r="C289">
        <v>6208020501</v>
      </c>
      <c r="D289" t="s">
        <v>467</v>
      </c>
    </row>
    <row r="290" spans="1:4">
      <c r="A290" t="s">
        <v>467</v>
      </c>
      <c r="B290" t="s">
        <v>799</v>
      </c>
      <c r="C290">
        <v>6208020505</v>
      </c>
      <c r="D290" t="s">
        <v>467</v>
      </c>
    </row>
    <row r="291" spans="1:4">
      <c r="A291" t="s">
        <v>467</v>
      </c>
      <c r="B291" t="s">
        <v>800</v>
      </c>
      <c r="C291">
        <v>6208020503</v>
      </c>
      <c r="D291" t="s">
        <v>467</v>
      </c>
    </row>
    <row r="292" spans="1:4">
      <c r="A292" t="s">
        <v>467</v>
      </c>
      <c r="B292" t="s">
        <v>801</v>
      </c>
      <c r="C292">
        <v>6208100501</v>
      </c>
      <c r="D292" t="s">
        <v>467</v>
      </c>
    </row>
    <row r="293" spans="1:4">
      <c r="A293" t="s">
        <v>467</v>
      </c>
      <c r="B293" t="s">
        <v>802</v>
      </c>
      <c r="C293">
        <v>6208021601</v>
      </c>
      <c r="D293" t="s">
        <v>467</v>
      </c>
    </row>
    <row r="294" spans="1:4">
      <c r="A294" t="s">
        <v>467</v>
      </c>
      <c r="B294" t="s">
        <v>803</v>
      </c>
      <c r="C294">
        <v>6208021602</v>
      </c>
      <c r="D294" t="s">
        <v>467</v>
      </c>
    </row>
    <row r="295" spans="1:4">
      <c r="A295" t="s">
        <v>467</v>
      </c>
      <c r="B295" t="s">
        <v>804</v>
      </c>
      <c r="C295">
        <v>6208020202</v>
      </c>
      <c r="D295" t="s">
        <v>467</v>
      </c>
    </row>
    <row r="296" spans="1:4">
      <c r="A296" t="s">
        <v>467</v>
      </c>
      <c r="B296" t="s">
        <v>805</v>
      </c>
      <c r="C296">
        <v>6208020201</v>
      </c>
      <c r="D296" t="s">
        <v>467</v>
      </c>
    </row>
    <row r="297" spans="1:4">
      <c r="A297" t="s">
        <v>467</v>
      </c>
      <c r="B297" t="s">
        <v>806</v>
      </c>
      <c r="C297">
        <v>6208020203</v>
      </c>
      <c r="D297" t="s">
        <v>467</v>
      </c>
    </row>
    <row r="298" spans="1:4">
      <c r="A298" t="s">
        <v>467</v>
      </c>
      <c r="B298" t="s">
        <v>807</v>
      </c>
      <c r="C298">
        <v>6208080106</v>
      </c>
      <c r="D298" t="s">
        <v>467</v>
      </c>
    </row>
    <row r="299" spans="1:4">
      <c r="A299" t="s">
        <v>467</v>
      </c>
      <c r="B299" t="s">
        <v>808</v>
      </c>
      <c r="C299">
        <v>6208080108</v>
      </c>
      <c r="D299" t="s">
        <v>467</v>
      </c>
    </row>
    <row r="300" spans="1:4">
      <c r="A300" t="s">
        <v>467</v>
      </c>
      <c r="B300" t="s">
        <v>809</v>
      </c>
      <c r="C300">
        <v>6208080107</v>
      </c>
      <c r="D300" t="s">
        <v>467</v>
      </c>
    </row>
    <row r="301" spans="1:4">
      <c r="A301" t="s">
        <v>467</v>
      </c>
      <c r="B301" t="s">
        <v>810</v>
      </c>
      <c r="C301">
        <v>6208080101</v>
      </c>
      <c r="D301" t="s">
        <v>467</v>
      </c>
    </row>
    <row r="302" spans="1:4">
      <c r="A302" t="s">
        <v>467</v>
      </c>
      <c r="B302" t="s">
        <v>811</v>
      </c>
      <c r="C302">
        <v>6208080103</v>
      </c>
      <c r="D302" t="s">
        <v>467</v>
      </c>
    </row>
    <row r="303" spans="1:4">
      <c r="A303" t="s">
        <v>467</v>
      </c>
      <c r="B303" t="s">
        <v>812</v>
      </c>
      <c r="C303">
        <v>6208080102</v>
      </c>
      <c r="D303" t="s">
        <v>467</v>
      </c>
    </row>
    <row r="304" spans="1:4">
      <c r="A304" t="s">
        <v>467</v>
      </c>
      <c r="B304" t="s">
        <v>813</v>
      </c>
      <c r="C304">
        <v>6208080104</v>
      </c>
      <c r="D304" t="s">
        <v>467</v>
      </c>
    </row>
    <row r="305" spans="1:4">
      <c r="A305" t="s">
        <v>467</v>
      </c>
      <c r="B305" t="s">
        <v>814</v>
      </c>
      <c r="C305">
        <v>6208080105</v>
      </c>
      <c r="D305" t="s">
        <v>467</v>
      </c>
    </row>
    <row r="306" spans="1:4">
      <c r="A306" t="s">
        <v>467</v>
      </c>
      <c r="B306" t="s">
        <v>815</v>
      </c>
      <c r="C306">
        <v>6208021815</v>
      </c>
      <c r="D306" t="s">
        <v>467</v>
      </c>
    </row>
    <row r="307" spans="1:4">
      <c r="A307" t="s">
        <v>467</v>
      </c>
      <c r="B307" t="s">
        <v>816</v>
      </c>
      <c r="C307">
        <v>6208020709</v>
      </c>
      <c r="D307" t="s">
        <v>467</v>
      </c>
    </row>
    <row r="308" spans="1:4">
      <c r="A308" t="s">
        <v>467</v>
      </c>
      <c r="B308" t="s">
        <v>817</v>
      </c>
      <c r="C308">
        <v>6208020710</v>
      </c>
      <c r="D308" t="s">
        <v>467</v>
      </c>
    </row>
    <row r="309" spans="1:4">
      <c r="A309" t="s">
        <v>467</v>
      </c>
      <c r="B309" t="s">
        <v>818</v>
      </c>
      <c r="C309">
        <v>6208020702</v>
      </c>
      <c r="D309" t="s">
        <v>467</v>
      </c>
    </row>
    <row r="310" spans="1:4">
      <c r="A310" t="s">
        <v>467</v>
      </c>
      <c r="B310" t="s">
        <v>819</v>
      </c>
      <c r="C310">
        <v>6208020701</v>
      </c>
      <c r="D310" t="s">
        <v>467</v>
      </c>
    </row>
    <row r="311" spans="1:4">
      <c r="A311" t="s">
        <v>467</v>
      </c>
      <c r="B311" t="s">
        <v>820</v>
      </c>
      <c r="C311">
        <v>6208020705</v>
      </c>
      <c r="D311" t="s">
        <v>467</v>
      </c>
    </row>
    <row r="312" spans="1:4">
      <c r="A312" t="s">
        <v>467</v>
      </c>
      <c r="B312" t="s">
        <v>821</v>
      </c>
      <c r="C312">
        <v>6208020707</v>
      </c>
      <c r="D312" t="s">
        <v>467</v>
      </c>
    </row>
    <row r="313" spans="1:4">
      <c r="A313" t="s">
        <v>467</v>
      </c>
      <c r="B313" t="s">
        <v>822</v>
      </c>
      <c r="C313">
        <v>6208020708</v>
      </c>
      <c r="D313" t="s">
        <v>467</v>
      </c>
    </row>
    <row r="314" spans="1:4">
      <c r="A314" t="s">
        <v>467</v>
      </c>
      <c r="B314" t="s">
        <v>823</v>
      </c>
      <c r="C314">
        <v>6208020703</v>
      </c>
      <c r="D314" t="s">
        <v>467</v>
      </c>
    </row>
    <row r="315" spans="1:4">
      <c r="A315" t="s">
        <v>467</v>
      </c>
      <c r="B315" t="s">
        <v>824</v>
      </c>
      <c r="C315">
        <v>6208020704</v>
      </c>
      <c r="D315" t="s">
        <v>467</v>
      </c>
    </row>
    <row r="316" spans="1:4">
      <c r="A316" t="s">
        <v>467</v>
      </c>
      <c r="B316" t="s">
        <v>825</v>
      </c>
      <c r="C316">
        <v>6208020712</v>
      </c>
      <c r="D316" t="s">
        <v>467</v>
      </c>
    </row>
    <row r="317" spans="1:4">
      <c r="A317" t="s">
        <v>467</v>
      </c>
      <c r="B317" t="s">
        <v>826</v>
      </c>
      <c r="C317">
        <v>6208020711</v>
      </c>
      <c r="D317" t="s">
        <v>467</v>
      </c>
    </row>
    <row r="318" spans="1:4">
      <c r="A318" t="s">
        <v>467</v>
      </c>
      <c r="B318" t="s">
        <v>827</v>
      </c>
      <c r="C318">
        <v>6208020706</v>
      </c>
      <c r="D318" t="s">
        <v>467</v>
      </c>
    </row>
    <row r="319" spans="1:4">
      <c r="A319" t="s">
        <v>467</v>
      </c>
      <c r="B319" t="s">
        <v>828</v>
      </c>
      <c r="C319">
        <v>6208021801</v>
      </c>
      <c r="D319" t="s">
        <v>467</v>
      </c>
    </row>
    <row r="320" spans="1:4">
      <c r="A320" t="s">
        <v>467</v>
      </c>
      <c r="B320" t="s">
        <v>829</v>
      </c>
      <c r="C320">
        <v>6208021810</v>
      </c>
      <c r="D320" t="s">
        <v>467</v>
      </c>
    </row>
    <row r="321" spans="1:4">
      <c r="A321" t="s">
        <v>467</v>
      </c>
      <c r="B321" t="s">
        <v>830</v>
      </c>
      <c r="C321">
        <v>6208021802</v>
      </c>
      <c r="D321" t="s">
        <v>467</v>
      </c>
    </row>
    <row r="322" spans="1:4">
      <c r="A322" t="s">
        <v>467</v>
      </c>
      <c r="B322" t="s">
        <v>831</v>
      </c>
      <c r="C322">
        <v>6208021808</v>
      </c>
      <c r="D322" t="s">
        <v>467</v>
      </c>
    </row>
    <row r="323" spans="1:4">
      <c r="A323" t="s">
        <v>467</v>
      </c>
      <c r="B323" t="s">
        <v>832</v>
      </c>
      <c r="C323">
        <v>6208021803</v>
      </c>
      <c r="D323" t="s">
        <v>467</v>
      </c>
    </row>
    <row r="324" spans="1:4">
      <c r="A324" t="s">
        <v>467</v>
      </c>
      <c r="B324" t="s">
        <v>833</v>
      </c>
      <c r="C324">
        <v>6208021804</v>
      </c>
      <c r="D324" t="s">
        <v>467</v>
      </c>
    </row>
    <row r="325" spans="1:4">
      <c r="A325" t="s">
        <v>467</v>
      </c>
      <c r="B325" t="s">
        <v>834</v>
      </c>
      <c r="C325">
        <v>6208021809</v>
      </c>
      <c r="D325" t="s">
        <v>467</v>
      </c>
    </row>
    <row r="326" spans="1:4">
      <c r="A326" t="s">
        <v>467</v>
      </c>
      <c r="B326" t="s">
        <v>835</v>
      </c>
      <c r="C326">
        <v>6208021805</v>
      </c>
      <c r="D326" t="s">
        <v>467</v>
      </c>
    </row>
    <row r="327" spans="1:4">
      <c r="A327" t="s">
        <v>467</v>
      </c>
      <c r="B327" t="s">
        <v>836</v>
      </c>
      <c r="C327">
        <v>6208021814</v>
      </c>
      <c r="D327" t="s">
        <v>467</v>
      </c>
    </row>
    <row r="328" spans="1:4">
      <c r="A328" t="s">
        <v>467</v>
      </c>
      <c r="B328" t="s">
        <v>837</v>
      </c>
      <c r="C328">
        <v>6208021806</v>
      </c>
      <c r="D328" t="s">
        <v>467</v>
      </c>
    </row>
    <row r="329" spans="1:4">
      <c r="A329" t="s">
        <v>467</v>
      </c>
      <c r="B329" t="s">
        <v>838</v>
      </c>
      <c r="C329">
        <v>6208021807</v>
      </c>
      <c r="D329" t="s">
        <v>467</v>
      </c>
    </row>
    <row r="330" spans="1:4">
      <c r="A330" t="s">
        <v>467</v>
      </c>
      <c r="B330" t="s">
        <v>839</v>
      </c>
      <c r="C330">
        <v>6208021002</v>
      </c>
      <c r="D330" t="s">
        <v>467</v>
      </c>
    </row>
    <row r="331" spans="1:4">
      <c r="A331" t="s">
        <v>467</v>
      </c>
      <c r="B331" t="s">
        <v>840</v>
      </c>
      <c r="C331">
        <v>6208021001</v>
      </c>
      <c r="D331" t="s">
        <v>467</v>
      </c>
    </row>
    <row r="332" spans="1:4">
      <c r="A332" t="s">
        <v>467</v>
      </c>
      <c r="B332" t="s">
        <v>841</v>
      </c>
      <c r="C332">
        <v>6208021007</v>
      </c>
      <c r="D332" t="s">
        <v>467</v>
      </c>
    </row>
    <row r="333" spans="1:4">
      <c r="A333" t="s">
        <v>467</v>
      </c>
      <c r="B333" t="s">
        <v>842</v>
      </c>
      <c r="C333">
        <v>6208021005</v>
      </c>
      <c r="D333" t="s">
        <v>467</v>
      </c>
    </row>
    <row r="334" spans="1:4">
      <c r="A334" t="s">
        <v>467</v>
      </c>
      <c r="B334" t="s">
        <v>843</v>
      </c>
      <c r="C334">
        <v>6208021006</v>
      </c>
      <c r="D334" t="s">
        <v>467</v>
      </c>
    </row>
    <row r="335" spans="1:4">
      <c r="A335" t="s">
        <v>467</v>
      </c>
      <c r="B335" t="s">
        <v>844</v>
      </c>
      <c r="C335">
        <v>6208021008</v>
      </c>
      <c r="D335" t="s">
        <v>467</v>
      </c>
    </row>
    <row r="336" spans="1:4">
      <c r="A336" t="s">
        <v>467</v>
      </c>
      <c r="B336" t="s">
        <v>845</v>
      </c>
      <c r="C336">
        <v>6208021004</v>
      </c>
      <c r="D336" t="s">
        <v>467</v>
      </c>
    </row>
    <row r="337" spans="1:4">
      <c r="A337" t="s">
        <v>467</v>
      </c>
      <c r="B337" t="s">
        <v>846</v>
      </c>
      <c r="C337">
        <v>6208021003</v>
      </c>
      <c r="D337" t="s">
        <v>467</v>
      </c>
    </row>
    <row r="338" spans="1:4">
      <c r="A338" t="s">
        <v>467</v>
      </c>
      <c r="B338" t="s">
        <v>847</v>
      </c>
      <c r="C338">
        <v>6208021301</v>
      </c>
      <c r="D338" t="s">
        <v>467</v>
      </c>
    </row>
    <row r="339" spans="1:4">
      <c r="A339" t="s">
        <v>467</v>
      </c>
      <c r="B339" t="s">
        <v>848</v>
      </c>
      <c r="C339">
        <v>6208020803</v>
      </c>
      <c r="D339" t="s">
        <v>467</v>
      </c>
    </row>
    <row r="340" spans="1:4">
      <c r="A340" t="s">
        <v>467</v>
      </c>
      <c r="B340" t="s">
        <v>849</v>
      </c>
      <c r="C340">
        <v>6208020802</v>
      </c>
      <c r="D340" t="s">
        <v>467</v>
      </c>
    </row>
    <row r="341" spans="1:4">
      <c r="A341" t="s">
        <v>467</v>
      </c>
      <c r="B341" t="s">
        <v>850</v>
      </c>
      <c r="C341">
        <v>6208020807</v>
      </c>
      <c r="D341" t="s">
        <v>467</v>
      </c>
    </row>
    <row r="342" spans="1:4">
      <c r="A342" t="s">
        <v>467</v>
      </c>
      <c r="B342" t="s">
        <v>851</v>
      </c>
      <c r="C342">
        <v>6208020804</v>
      </c>
      <c r="D342" t="s">
        <v>467</v>
      </c>
    </row>
    <row r="343" spans="1:4">
      <c r="A343" t="s">
        <v>467</v>
      </c>
      <c r="B343" t="s">
        <v>852</v>
      </c>
      <c r="C343">
        <v>6208020812</v>
      </c>
      <c r="D343" t="s">
        <v>467</v>
      </c>
    </row>
    <row r="344" spans="1:4">
      <c r="A344" t="s">
        <v>467</v>
      </c>
      <c r="B344" t="s">
        <v>853</v>
      </c>
      <c r="C344">
        <v>6208020801</v>
      </c>
      <c r="D344" t="s">
        <v>467</v>
      </c>
    </row>
    <row r="345" spans="1:4">
      <c r="A345" t="s">
        <v>467</v>
      </c>
      <c r="B345" t="s">
        <v>854</v>
      </c>
      <c r="C345">
        <v>6208020811</v>
      </c>
      <c r="D345" t="s">
        <v>467</v>
      </c>
    </row>
    <row r="346" spans="1:4">
      <c r="A346" t="s">
        <v>467</v>
      </c>
      <c r="B346" t="s">
        <v>855</v>
      </c>
      <c r="C346">
        <v>6208020814</v>
      </c>
      <c r="D346" t="s">
        <v>467</v>
      </c>
    </row>
    <row r="347" spans="1:4">
      <c r="A347" t="s">
        <v>467</v>
      </c>
      <c r="B347" t="s">
        <v>856</v>
      </c>
      <c r="C347">
        <v>6208020808</v>
      </c>
      <c r="D347" t="s">
        <v>467</v>
      </c>
    </row>
    <row r="348" spans="1:4">
      <c r="A348" t="s">
        <v>467</v>
      </c>
      <c r="B348" t="s">
        <v>857</v>
      </c>
      <c r="C348">
        <v>6208020809</v>
      </c>
      <c r="D348" t="s">
        <v>467</v>
      </c>
    </row>
    <row r="349" spans="1:4">
      <c r="A349" t="s">
        <v>467</v>
      </c>
      <c r="B349" t="s">
        <v>858</v>
      </c>
      <c r="C349">
        <v>6208020810</v>
      </c>
      <c r="D349" t="s">
        <v>467</v>
      </c>
    </row>
    <row r="350" spans="1:4">
      <c r="A350" t="s">
        <v>467</v>
      </c>
      <c r="B350" t="s">
        <v>859</v>
      </c>
      <c r="C350">
        <v>6208020806</v>
      </c>
      <c r="D350" t="s">
        <v>467</v>
      </c>
    </row>
    <row r="351" spans="1:4">
      <c r="A351" t="s">
        <v>467</v>
      </c>
      <c r="B351" t="s">
        <v>860</v>
      </c>
      <c r="C351">
        <v>6208020805</v>
      </c>
      <c r="D351" t="s">
        <v>467</v>
      </c>
    </row>
    <row r="352" spans="1:4">
      <c r="A352" t="s">
        <v>467</v>
      </c>
      <c r="B352" t="s">
        <v>861</v>
      </c>
      <c r="C352">
        <v>6208020813</v>
      </c>
      <c r="D352" t="s">
        <v>467</v>
      </c>
    </row>
    <row r="353" spans="1:4">
      <c r="A353" t="s">
        <v>467</v>
      </c>
      <c r="B353" t="s">
        <v>862</v>
      </c>
      <c r="C353">
        <v>6208050306</v>
      </c>
      <c r="D353" t="s">
        <v>467</v>
      </c>
    </row>
    <row r="354" spans="1:4">
      <c r="A354" t="s">
        <v>467</v>
      </c>
      <c r="B354" t="s">
        <v>863</v>
      </c>
      <c r="C354">
        <v>6208021401</v>
      </c>
      <c r="D354" t="s">
        <v>467</v>
      </c>
    </row>
    <row r="355" spans="1:4">
      <c r="A355" t="s">
        <v>467</v>
      </c>
      <c r="B355" t="s">
        <v>864</v>
      </c>
      <c r="C355">
        <v>6208021402</v>
      </c>
      <c r="D355" t="s">
        <v>467</v>
      </c>
    </row>
    <row r="356" spans="1:4">
      <c r="A356" t="s">
        <v>467</v>
      </c>
      <c r="B356" t="s">
        <v>865</v>
      </c>
      <c r="C356">
        <v>6208021501</v>
      </c>
      <c r="D356" t="s">
        <v>467</v>
      </c>
    </row>
    <row r="357" spans="1:4">
      <c r="A357" t="s">
        <v>467</v>
      </c>
      <c r="B357" t="s">
        <v>866</v>
      </c>
      <c r="C357">
        <v>6208020402</v>
      </c>
      <c r="D357" t="s">
        <v>467</v>
      </c>
    </row>
    <row r="358" spans="1:4">
      <c r="A358" t="s">
        <v>467</v>
      </c>
      <c r="B358" t="s">
        <v>867</v>
      </c>
      <c r="C358">
        <v>6208020401</v>
      </c>
      <c r="D358" t="s">
        <v>467</v>
      </c>
    </row>
    <row r="359" spans="1:4">
      <c r="A359" t="s">
        <v>467</v>
      </c>
      <c r="B359" t="s">
        <v>868</v>
      </c>
      <c r="C359">
        <v>6208020403</v>
      </c>
      <c r="D359" t="s">
        <v>467</v>
      </c>
    </row>
    <row r="360" spans="1:4">
      <c r="A360" t="s">
        <v>467</v>
      </c>
      <c r="B360" t="s">
        <v>869</v>
      </c>
      <c r="C360">
        <v>6208020407</v>
      </c>
      <c r="D360" t="s">
        <v>467</v>
      </c>
    </row>
    <row r="361" spans="1:4">
      <c r="A361" t="s">
        <v>467</v>
      </c>
      <c r="B361" t="s">
        <v>870</v>
      </c>
      <c r="C361">
        <v>6208020406</v>
      </c>
      <c r="D361" t="s">
        <v>467</v>
      </c>
    </row>
    <row r="362" spans="1:4">
      <c r="A362" t="s">
        <v>467</v>
      </c>
      <c r="B362" t="s">
        <v>871</v>
      </c>
      <c r="C362">
        <v>6208020404</v>
      </c>
      <c r="D362" t="s">
        <v>467</v>
      </c>
    </row>
    <row r="363" spans="1:4">
      <c r="A363" t="s">
        <v>467</v>
      </c>
      <c r="B363" t="s">
        <v>872</v>
      </c>
      <c r="C363">
        <v>6208020405</v>
      </c>
      <c r="D363" t="s">
        <v>467</v>
      </c>
    </row>
    <row r="364" spans="1:4">
      <c r="A364" t="s">
        <v>467</v>
      </c>
      <c r="B364" t="s">
        <v>873</v>
      </c>
      <c r="C364">
        <v>6208020408</v>
      </c>
      <c r="D364" t="s">
        <v>467</v>
      </c>
    </row>
    <row r="365" spans="1:4">
      <c r="A365" t="s">
        <v>467</v>
      </c>
      <c r="B365" t="s">
        <v>874</v>
      </c>
      <c r="C365">
        <v>6208020301</v>
      </c>
      <c r="D365" t="s">
        <v>467</v>
      </c>
    </row>
    <row r="366" spans="1:4">
      <c r="A366" t="s">
        <v>467</v>
      </c>
      <c r="B366" t="s">
        <v>875</v>
      </c>
      <c r="C366">
        <v>6208020305</v>
      </c>
      <c r="D366" t="s">
        <v>467</v>
      </c>
    </row>
    <row r="367" spans="1:4">
      <c r="A367" t="s">
        <v>467</v>
      </c>
      <c r="B367" t="s">
        <v>876</v>
      </c>
      <c r="C367">
        <v>6208020307</v>
      </c>
      <c r="D367" t="s">
        <v>467</v>
      </c>
    </row>
    <row r="368" spans="1:4">
      <c r="A368" t="s">
        <v>467</v>
      </c>
      <c r="B368" t="s">
        <v>877</v>
      </c>
      <c r="C368">
        <v>6208020306</v>
      </c>
      <c r="D368" t="s">
        <v>467</v>
      </c>
    </row>
    <row r="369" spans="1:4">
      <c r="A369" t="s">
        <v>467</v>
      </c>
      <c r="B369" t="s">
        <v>878</v>
      </c>
      <c r="C369">
        <v>6208020308</v>
      </c>
      <c r="D369" t="s">
        <v>467</v>
      </c>
    </row>
    <row r="370" spans="1:4">
      <c r="A370" t="s">
        <v>467</v>
      </c>
      <c r="B370" t="s">
        <v>879</v>
      </c>
      <c r="C370">
        <v>6208020310</v>
      </c>
      <c r="D370" t="s">
        <v>467</v>
      </c>
    </row>
    <row r="371" spans="1:4">
      <c r="A371" t="s">
        <v>467</v>
      </c>
      <c r="B371" t="s">
        <v>880</v>
      </c>
      <c r="C371">
        <v>6208020311</v>
      </c>
      <c r="D371" t="s">
        <v>467</v>
      </c>
    </row>
    <row r="372" spans="1:4">
      <c r="A372" t="s">
        <v>467</v>
      </c>
      <c r="B372" t="s">
        <v>881</v>
      </c>
      <c r="C372">
        <v>6208020312</v>
      </c>
      <c r="D372" t="s">
        <v>467</v>
      </c>
    </row>
    <row r="373" spans="1:4">
      <c r="A373" t="s">
        <v>467</v>
      </c>
      <c r="B373" t="s">
        <v>882</v>
      </c>
      <c r="C373">
        <v>6208020302</v>
      </c>
      <c r="D373" t="s">
        <v>467</v>
      </c>
    </row>
    <row r="374" spans="1:4">
      <c r="A374" t="s">
        <v>467</v>
      </c>
      <c r="B374" t="s">
        <v>883</v>
      </c>
      <c r="C374">
        <v>6208020303</v>
      </c>
      <c r="D374" t="s">
        <v>467</v>
      </c>
    </row>
    <row r="375" spans="1:4">
      <c r="A375" t="s">
        <v>467</v>
      </c>
      <c r="B375" t="s">
        <v>884</v>
      </c>
      <c r="C375">
        <v>6208020309</v>
      </c>
      <c r="D375" t="s">
        <v>467</v>
      </c>
    </row>
    <row r="376" spans="1:4">
      <c r="A376" t="s">
        <v>467</v>
      </c>
      <c r="B376" t="s">
        <v>885</v>
      </c>
      <c r="C376">
        <v>6208020304</v>
      </c>
      <c r="D376" t="s">
        <v>467</v>
      </c>
    </row>
    <row r="377" spans="1:4">
      <c r="A377" t="s">
        <v>467</v>
      </c>
      <c r="B377" t="s">
        <v>886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887</v>
      </c>
      <c r="C379">
        <v>6208100401</v>
      </c>
      <c r="D379" t="s">
        <v>467</v>
      </c>
    </row>
    <row r="382" spans="1:4">
      <c r="A382" t="s">
        <v>888</v>
      </c>
      <c r="B382" t="s">
        <v>889</v>
      </c>
      <c r="C382">
        <v>1556100101</v>
      </c>
      <c r="D382" t="s">
        <v>888</v>
      </c>
    </row>
    <row r="383" spans="1:4">
      <c r="A383" t="s">
        <v>888</v>
      </c>
      <c r="B383" t="s">
        <v>890</v>
      </c>
      <c r="C383">
        <v>1560050101</v>
      </c>
      <c r="D383" t="s">
        <v>888</v>
      </c>
    </row>
    <row r="384" spans="1:4">
      <c r="A384" t="s">
        <v>888</v>
      </c>
      <c r="B384" t="s">
        <v>891</v>
      </c>
      <c r="C384">
        <v>1540050101</v>
      </c>
      <c r="D384" t="s">
        <v>888</v>
      </c>
    </row>
    <row r="385" spans="1:4">
      <c r="A385" t="s">
        <v>888</v>
      </c>
      <c r="B385" t="s">
        <v>892</v>
      </c>
      <c r="C385">
        <v>1805100101</v>
      </c>
      <c r="D385" t="s">
        <v>888</v>
      </c>
    </row>
    <row r="386" spans="1:4">
      <c r="A386" t="s">
        <v>888</v>
      </c>
      <c r="B386" t="s">
        <v>893</v>
      </c>
      <c r="C386">
        <v>1516150101</v>
      </c>
      <c r="D386" t="s">
        <v>888</v>
      </c>
    </row>
    <row r="387" spans="1:4">
      <c r="A387" t="s">
        <v>888</v>
      </c>
      <c r="B387" t="s">
        <v>894</v>
      </c>
      <c r="C387">
        <v>1508050101</v>
      </c>
      <c r="D387" t="s">
        <v>888</v>
      </c>
    </row>
    <row r="388" spans="1:4">
      <c r="A388" t="s">
        <v>888</v>
      </c>
      <c r="B388" t="s">
        <v>895</v>
      </c>
      <c r="C388">
        <v>1584050102</v>
      </c>
      <c r="D388" t="s">
        <v>888</v>
      </c>
    </row>
    <row r="389" spans="1:4">
      <c r="A389" t="s">
        <v>888</v>
      </c>
      <c r="B389" t="s">
        <v>896</v>
      </c>
      <c r="C389">
        <v>1516050101</v>
      </c>
      <c r="D389" t="s">
        <v>888</v>
      </c>
    </row>
    <row r="390" spans="1:4">
      <c r="A390" t="s">
        <v>888</v>
      </c>
      <c r="B390" t="s">
        <v>897</v>
      </c>
      <c r="C390">
        <v>1805959501</v>
      </c>
      <c r="D390" t="s">
        <v>888</v>
      </c>
    </row>
    <row r="391" spans="1:4">
      <c r="A391" t="s">
        <v>888</v>
      </c>
      <c r="B391" t="s">
        <v>898</v>
      </c>
      <c r="C391">
        <v>1805050101</v>
      </c>
      <c r="D391" t="s">
        <v>888</v>
      </c>
    </row>
    <row r="392" spans="1:4">
      <c r="A392" t="s">
        <v>888</v>
      </c>
      <c r="B392" t="s">
        <v>899</v>
      </c>
      <c r="C392">
        <v>1520050103</v>
      </c>
      <c r="D392" t="s">
        <v>888</v>
      </c>
    </row>
    <row r="393" spans="1:4">
      <c r="A393" t="s">
        <v>888</v>
      </c>
      <c r="B393" t="s">
        <v>900</v>
      </c>
      <c r="C393">
        <v>1520050107</v>
      </c>
      <c r="D393" t="s">
        <v>888</v>
      </c>
    </row>
    <row r="394" spans="1:4">
      <c r="A394" t="s">
        <v>888</v>
      </c>
      <c r="B394" t="s">
        <v>901</v>
      </c>
      <c r="C394">
        <v>1520050106</v>
      </c>
      <c r="D394" t="s">
        <v>888</v>
      </c>
    </row>
    <row r="395" spans="1:4">
      <c r="A395" t="s">
        <v>888</v>
      </c>
      <c r="B395" t="s">
        <v>902</v>
      </c>
      <c r="C395">
        <v>1520050102</v>
      </c>
      <c r="D395" t="s">
        <v>888</v>
      </c>
    </row>
    <row r="396" spans="1:4">
      <c r="A396" t="s">
        <v>888</v>
      </c>
      <c r="B396" t="s">
        <v>903</v>
      </c>
      <c r="C396">
        <v>1520050104</v>
      </c>
      <c r="D396" t="s">
        <v>888</v>
      </c>
    </row>
    <row r="397" spans="1:4">
      <c r="A397" t="s">
        <v>888</v>
      </c>
      <c r="B397" t="s">
        <v>904</v>
      </c>
      <c r="C397">
        <v>1520050108</v>
      </c>
      <c r="D397" t="s">
        <v>888</v>
      </c>
    </row>
    <row r="398" spans="1:4">
      <c r="A398" t="s">
        <v>888</v>
      </c>
      <c r="B398" t="s">
        <v>905</v>
      </c>
      <c r="C398">
        <v>1528100101</v>
      </c>
      <c r="D398" t="s">
        <v>888</v>
      </c>
    </row>
    <row r="399" spans="1:4">
      <c r="A399" t="s">
        <v>888</v>
      </c>
      <c r="B399" t="s">
        <v>906</v>
      </c>
      <c r="C399">
        <v>1524100101</v>
      </c>
      <c r="D399" t="s">
        <v>888</v>
      </c>
    </row>
    <row r="400" spans="1:4">
      <c r="A400" t="s">
        <v>888</v>
      </c>
      <c r="B400" t="s">
        <v>907</v>
      </c>
      <c r="C400">
        <v>1528150101</v>
      </c>
      <c r="D400" t="s">
        <v>888</v>
      </c>
    </row>
    <row r="401" spans="1:4">
      <c r="A401" t="s">
        <v>888</v>
      </c>
      <c r="B401" t="s">
        <v>908</v>
      </c>
      <c r="C401">
        <v>1805100102</v>
      </c>
      <c r="D401" t="s">
        <v>888</v>
      </c>
    </row>
    <row r="402" spans="1:4">
      <c r="A402" t="s">
        <v>888</v>
      </c>
      <c r="B402" t="s">
        <v>908</v>
      </c>
      <c r="C402">
        <v>1805959502</v>
      </c>
      <c r="D402" t="s">
        <v>888</v>
      </c>
    </row>
    <row r="403" spans="1:4">
      <c r="A403" t="s">
        <v>888</v>
      </c>
      <c r="B403" t="s">
        <v>909</v>
      </c>
      <c r="C403">
        <v>1528050101</v>
      </c>
      <c r="D403" t="s">
        <v>888</v>
      </c>
    </row>
    <row r="404" spans="1:4">
      <c r="A404" t="s">
        <v>888</v>
      </c>
      <c r="B404" t="s">
        <v>910</v>
      </c>
      <c r="C404">
        <v>1805100103</v>
      </c>
      <c r="D404" t="s">
        <v>888</v>
      </c>
    </row>
    <row r="405" spans="1:4">
      <c r="A405" t="s">
        <v>888</v>
      </c>
      <c r="B405" t="s">
        <v>910</v>
      </c>
      <c r="C405">
        <v>1805959503</v>
      </c>
      <c r="D405" t="s">
        <v>888</v>
      </c>
    </row>
    <row r="406" spans="1:4">
      <c r="A406" t="s">
        <v>888</v>
      </c>
      <c r="B406" t="s">
        <v>911</v>
      </c>
      <c r="C406">
        <v>1584050101</v>
      </c>
      <c r="D406" t="s">
        <v>888</v>
      </c>
    </row>
    <row r="407" spans="1:4">
      <c r="A407" t="s">
        <v>888</v>
      </c>
      <c r="B407" t="s">
        <v>912</v>
      </c>
      <c r="C407">
        <v>1520050105</v>
      </c>
      <c r="D407" t="s">
        <v>888</v>
      </c>
    </row>
    <row r="408" spans="1:4">
      <c r="A408" t="s">
        <v>888</v>
      </c>
      <c r="B408" t="s">
        <v>913</v>
      </c>
      <c r="C408">
        <v>1556050101</v>
      </c>
      <c r="D408" t="s">
        <v>888</v>
      </c>
    </row>
    <row r="409" spans="1:4">
      <c r="A409" t="s">
        <v>888</v>
      </c>
      <c r="B409" t="s">
        <v>914</v>
      </c>
      <c r="C409">
        <v>1532200101</v>
      </c>
      <c r="D409" t="s">
        <v>888</v>
      </c>
    </row>
    <row r="410" spans="1:4">
      <c r="A410" t="s">
        <v>888</v>
      </c>
      <c r="B410" t="s">
        <v>915</v>
      </c>
      <c r="C410">
        <v>1805959504</v>
      </c>
      <c r="D410" t="s">
        <v>888</v>
      </c>
    </row>
    <row r="411" spans="1:4">
      <c r="A411" t="s">
        <v>888</v>
      </c>
      <c r="B411" t="s">
        <v>916</v>
      </c>
      <c r="C411">
        <v>1532150101</v>
      </c>
      <c r="D411" t="s">
        <v>888</v>
      </c>
    </row>
    <row r="412" spans="1:4">
      <c r="A412" t="s">
        <v>888</v>
      </c>
      <c r="B412" t="s">
        <v>917</v>
      </c>
      <c r="C412">
        <v>1528250101</v>
      </c>
      <c r="D412" t="s">
        <v>888</v>
      </c>
    </row>
    <row r="413" spans="1:4">
      <c r="A413" t="s">
        <v>888</v>
      </c>
      <c r="B413" t="s">
        <v>918</v>
      </c>
      <c r="C413">
        <v>1520050101</v>
      </c>
      <c r="D413" t="s">
        <v>888</v>
      </c>
    </row>
    <row r="414" spans="1:4">
      <c r="A414" t="s">
        <v>888</v>
      </c>
      <c r="B414" t="s">
        <v>919</v>
      </c>
      <c r="C414">
        <v>1532050101</v>
      </c>
      <c r="D414" t="s">
        <v>888</v>
      </c>
    </row>
    <row r="415" spans="1:4">
      <c r="A415" t="s">
        <v>888</v>
      </c>
      <c r="B415" t="s">
        <v>920</v>
      </c>
      <c r="C415">
        <v>1805050102</v>
      </c>
      <c r="D415" t="s">
        <v>888</v>
      </c>
    </row>
    <row r="416" spans="1:4">
      <c r="A416" t="s">
        <v>888</v>
      </c>
      <c r="B416" t="s">
        <v>921</v>
      </c>
      <c r="C416">
        <v>1524050101</v>
      </c>
      <c r="D416" t="s">
        <v>888</v>
      </c>
    </row>
    <row r="417" spans="1:4">
      <c r="A417" t="s">
        <v>888</v>
      </c>
      <c r="B417" t="s">
        <v>922</v>
      </c>
      <c r="C417">
        <v>1805050103</v>
      </c>
      <c r="D417" t="s">
        <v>888</v>
      </c>
    </row>
    <row r="418" spans="1:4">
      <c r="A418" t="s">
        <v>888</v>
      </c>
      <c r="B418" t="s">
        <v>923</v>
      </c>
      <c r="C418">
        <v>1532100101</v>
      </c>
      <c r="D418" t="s">
        <v>888</v>
      </c>
    </row>
    <row r="419" spans="1:4">
      <c r="A419" t="s">
        <v>888</v>
      </c>
      <c r="B419" t="s">
        <v>924</v>
      </c>
      <c r="C419">
        <v>1516100101</v>
      </c>
      <c r="D419" t="s">
        <v>888</v>
      </c>
    </row>
    <row r="420" spans="1:4">
      <c r="A420" t="s">
        <v>888</v>
      </c>
      <c r="B420" t="s">
        <v>925</v>
      </c>
      <c r="C420">
        <v>1524959595</v>
      </c>
      <c r="D420" t="s">
        <v>888</v>
      </c>
    </row>
    <row r="421" spans="1:4">
      <c r="A421" t="s">
        <v>888</v>
      </c>
      <c r="B421" t="s">
        <v>925</v>
      </c>
      <c r="C421">
        <v>1528959595</v>
      </c>
      <c r="D421" t="s">
        <v>888</v>
      </c>
    </row>
    <row r="422" spans="1:4">
      <c r="A422" t="s">
        <v>888</v>
      </c>
      <c r="B422" t="s">
        <v>925</v>
      </c>
      <c r="C422">
        <v>1532959595</v>
      </c>
      <c r="D422" t="s">
        <v>888</v>
      </c>
    </row>
    <row r="423" spans="1:4">
      <c r="A423" t="s">
        <v>888</v>
      </c>
      <c r="B423" t="s">
        <v>925</v>
      </c>
      <c r="C423">
        <v>1556959595</v>
      </c>
      <c r="D423" t="s">
        <v>888</v>
      </c>
    </row>
    <row r="424" spans="1:4">
      <c r="A424" t="s">
        <v>888</v>
      </c>
      <c r="B424" t="s">
        <v>926</v>
      </c>
      <c r="C424">
        <v>1805959595</v>
      </c>
      <c r="D424" t="s">
        <v>888</v>
      </c>
    </row>
    <row r="425" spans="1:4">
      <c r="A425" t="s">
        <v>888</v>
      </c>
      <c r="B425" t="s">
        <v>927</v>
      </c>
      <c r="C425">
        <v>1556280101</v>
      </c>
      <c r="D425" t="s">
        <v>888</v>
      </c>
    </row>
    <row r="426" spans="1:4">
      <c r="A426" t="s">
        <v>888</v>
      </c>
      <c r="B426" t="s">
        <v>928</v>
      </c>
      <c r="C426">
        <v>1556150101</v>
      </c>
      <c r="D426" t="s">
        <v>888</v>
      </c>
    </row>
    <row r="427" spans="1:4">
      <c r="A427" t="s">
        <v>888</v>
      </c>
      <c r="B427" t="s">
        <v>929</v>
      </c>
      <c r="C427">
        <v>1556300101</v>
      </c>
      <c r="D427" t="s">
        <v>888</v>
      </c>
    </row>
    <row r="428" spans="1:4">
      <c r="A428" t="s">
        <v>888</v>
      </c>
      <c r="B428" t="s">
        <v>930</v>
      </c>
      <c r="C428">
        <v>1556500101</v>
      </c>
      <c r="D428" t="s">
        <v>888</v>
      </c>
    </row>
    <row r="429" spans="1:4">
      <c r="A429" t="s">
        <v>888</v>
      </c>
      <c r="B429" t="s">
        <v>931</v>
      </c>
      <c r="C429">
        <v>1504100101</v>
      </c>
      <c r="D429" t="s">
        <v>888</v>
      </c>
    </row>
    <row r="430" spans="1:4">
      <c r="A430" t="s">
        <v>888</v>
      </c>
      <c r="B430" t="s">
        <v>932</v>
      </c>
      <c r="C430">
        <v>1504050101</v>
      </c>
      <c r="D430" t="s">
        <v>888</v>
      </c>
    </row>
    <row r="434" spans="1:4">
      <c r="A434" t="s">
        <v>933</v>
      </c>
      <c r="B434" t="s">
        <v>934</v>
      </c>
      <c r="C434">
        <v>6210020502</v>
      </c>
      <c r="D434" t="s">
        <v>933</v>
      </c>
    </row>
    <row r="435" spans="1:4">
      <c r="A435" t="s">
        <v>933</v>
      </c>
      <c r="B435" t="s">
        <v>935</v>
      </c>
      <c r="C435">
        <v>6210022102</v>
      </c>
      <c r="D435" t="s">
        <v>933</v>
      </c>
    </row>
    <row r="436" spans="1:4">
      <c r="A436" t="s">
        <v>933</v>
      </c>
      <c r="B436" t="s">
        <v>936</v>
      </c>
      <c r="C436">
        <v>6210100302</v>
      </c>
      <c r="D436" t="s">
        <v>933</v>
      </c>
    </row>
    <row r="437" spans="1:4">
      <c r="A437" t="s">
        <v>933</v>
      </c>
      <c r="B437" t="s">
        <v>937</v>
      </c>
      <c r="C437">
        <v>6210022101</v>
      </c>
      <c r="D437" t="s">
        <v>933</v>
      </c>
    </row>
    <row r="438" spans="1:4">
      <c r="A438" t="s">
        <v>933</v>
      </c>
      <c r="B438" t="s">
        <v>938</v>
      </c>
      <c r="C438">
        <v>6210021903</v>
      </c>
      <c r="D438" t="s">
        <v>933</v>
      </c>
    </row>
    <row r="439" spans="1:4">
      <c r="A439" t="s">
        <v>933</v>
      </c>
      <c r="B439" t="s">
        <v>939</v>
      </c>
      <c r="C439">
        <v>6210021902</v>
      </c>
      <c r="D439" t="s">
        <v>933</v>
      </c>
    </row>
    <row r="440" spans="1:4">
      <c r="A440" t="s">
        <v>933</v>
      </c>
      <c r="B440" t="s">
        <v>940</v>
      </c>
      <c r="C440">
        <v>6210021102</v>
      </c>
      <c r="D440" t="s">
        <v>933</v>
      </c>
    </row>
    <row r="441" spans="1:4">
      <c r="A441" t="s">
        <v>933</v>
      </c>
      <c r="B441" t="s">
        <v>941</v>
      </c>
      <c r="C441">
        <v>6210021901</v>
      </c>
      <c r="D441" t="s">
        <v>933</v>
      </c>
    </row>
    <row r="442" spans="1:4">
      <c r="A442" t="s">
        <v>933</v>
      </c>
      <c r="B442" t="s">
        <v>942</v>
      </c>
      <c r="C442">
        <v>6210021812</v>
      </c>
      <c r="D442" t="s">
        <v>933</v>
      </c>
    </row>
    <row r="443" spans="1:4">
      <c r="A443" t="s">
        <v>933</v>
      </c>
      <c r="B443" t="s">
        <v>943</v>
      </c>
      <c r="C443">
        <v>6210020504</v>
      </c>
      <c r="D443" t="s">
        <v>933</v>
      </c>
    </row>
    <row r="444" spans="1:4">
      <c r="A444" t="s">
        <v>933</v>
      </c>
      <c r="B444" t="s">
        <v>944</v>
      </c>
      <c r="C444">
        <v>6210021701</v>
      </c>
      <c r="D444" t="s">
        <v>933</v>
      </c>
    </row>
    <row r="445" spans="1:4">
      <c r="A445" t="s">
        <v>933</v>
      </c>
      <c r="B445" t="s">
        <v>945</v>
      </c>
      <c r="C445">
        <v>6210021103</v>
      </c>
      <c r="D445" t="s">
        <v>933</v>
      </c>
    </row>
    <row r="446" spans="1:4">
      <c r="A446" t="s">
        <v>933</v>
      </c>
      <c r="B446" t="s">
        <v>946</v>
      </c>
      <c r="C446">
        <v>6210021813</v>
      </c>
      <c r="D446" t="s">
        <v>933</v>
      </c>
    </row>
    <row r="447" spans="1:4">
      <c r="A447" t="s">
        <v>933</v>
      </c>
      <c r="B447" t="s">
        <v>947</v>
      </c>
      <c r="C447">
        <v>6210021101</v>
      </c>
      <c r="D447" t="s">
        <v>933</v>
      </c>
    </row>
    <row r="448" spans="1:4">
      <c r="A448" t="s">
        <v>933</v>
      </c>
      <c r="B448" t="s">
        <v>948</v>
      </c>
      <c r="C448">
        <v>6210021104</v>
      </c>
      <c r="D448" t="s">
        <v>933</v>
      </c>
    </row>
    <row r="449" spans="1:4">
      <c r="A449" t="s">
        <v>933</v>
      </c>
      <c r="B449" t="s">
        <v>949</v>
      </c>
      <c r="C449">
        <v>6210021811</v>
      </c>
      <c r="D449" t="s">
        <v>933</v>
      </c>
    </row>
    <row r="450" spans="1:4">
      <c r="A450" t="s">
        <v>933</v>
      </c>
      <c r="B450" s="281" t="s">
        <v>1001</v>
      </c>
      <c r="C450" s="359">
        <v>6210110101</v>
      </c>
      <c r="D450" t="s">
        <v>933</v>
      </c>
    </row>
    <row r="453" spans="1:4">
      <c r="A453" t="s">
        <v>950</v>
      </c>
      <c r="B453" t="s">
        <v>951</v>
      </c>
      <c r="C453">
        <v>6209020502</v>
      </c>
      <c r="D453" t="s">
        <v>950</v>
      </c>
    </row>
    <row r="454" spans="1:4">
      <c r="A454" t="s">
        <v>950</v>
      </c>
      <c r="B454" t="s">
        <v>952</v>
      </c>
      <c r="C454">
        <v>6209022102</v>
      </c>
      <c r="D454" t="s">
        <v>950</v>
      </c>
    </row>
    <row r="455" spans="1:4">
      <c r="A455" t="s">
        <v>950</v>
      </c>
      <c r="B455" t="s">
        <v>953</v>
      </c>
      <c r="C455">
        <v>6209100302</v>
      </c>
      <c r="D455" t="s">
        <v>950</v>
      </c>
    </row>
    <row r="456" spans="1:4">
      <c r="A456" t="s">
        <v>950</v>
      </c>
      <c r="B456" t="s">
        <v>954</v>
      </c>
      <c r="C456">
        <v>6209022101</v>
      </c>
      <c r="D456" t="s">
        <v>950</v>
      </c>
    </row>
    <row r="457" spans="1:4">
      <c r="A457" t="s">
        <v>950</v>
      </c>
      <c r="B457" t="s">
        <v>955</v>
      </c>
      <c r="C457">
        <v>6209021903</v>
      </c>
      <c r="D457" t="s">
        <v>950</v>
      </c>
    </row>
    <row r="458" spans="1:4">
      <c r="A458" t="s">
        <v>950</v>
      </c>
      <c r="B458" t="s">
        <v>956</v>
      </c>
      <c r="C458">
        <v>6209021902</v>
      </c>
      <c r="D458" t="s">
        <v>950</v>
      </c>
    </row>
    <row r="459" spans="1:4">
      <c r="A459" t="s">
        <v>950</v>
      </c>
      <c r="B459" t="s">
        <v>957</v>
      </c>
      <c r="C459">
        <v>6209021102</v>
      </c>
      <c r="D459" t="s">
        <v>950</v>
      </c>
    </row>
    <row r="460" spans="1:4">
      <c r="A460" t="s">
        <v>950</v>
      </c>
      <c r="B460" t="s">
        <v>958</v>
      </c>
      <c r="C460">
        <v>6209021901</v>
      </c>
      <c r="D460" t="s">
        <v>950</v>
      </c>
    </row>
    <row r="461" spans="1:4">
      <c r="A461" t="s">
        <v>950</v>
      </c>
      <c r="B461" t="s">
        <v>959</v>
      </c>
      <c r="C461">
        <v>6209021812</v>
      </c>
      <c r="D461" t="s">
        <v>950</v>
      </c>
    </row>
    <row r="462" spans="1:4">
      <c r="A462" t="s">
        <v>950</v>
      </c>
      <c r="B462" t="s">
        <v>960</v>
      </c>
      <c r="C462">
        <v>6209020504</v>
      </c>
      <c r="D462" t="s">
        <v>950</v>
      </c>
    </row>
    <row r="463" spans="1:4">
      <c r="A463" t="s">
        <v>950</v>
      </c>
      <c r="B463" t="s">
        <v>961</v>
      </c>
      <c r="C463">
        <v>6209021701</v>
      </c>
      <c r="D463" t="s">
        <v>950</v>
      </c>
    </row>
    <row r="464" spans="1:4">
      <c r="A464" t="s">
        <v>950</v>
      </c>
      <c r="B464" t="s">
        <v>962</v>
      </c>
      <c r="C464">
        <v>6209021103</v>
      </c>
      <c r="D464" t="s">
        <v>950</v>
      </c>
    </row>
    <row r="465" spans="1:4">
      <c r="A465" t="s">
        <v>950</v>
      </c>
      <c r="B465" t="s">
        <v>963</v>
      </c>
      <c r="C465">
        <v>6209021813</v>
      </c>
      <c r="D465" t="s">
        <v>950</v>
      </c>
    </row>
    <row r="466" spans="1:4">
      <c r="A466" t="s">
        <v>950</v>
      </c>
      <c r="B466" t="s">
        <v>964</v>
      </c>
      <c r="C466">
        <v>6209021101</v>
      </c>
      <c r="D466" t="s">
        <v>950</v>
      </c>
    </row>
    <row r="467" spans="1:4">
      <c r="A467" t="s">
        <v>950</v>
      </c>
      <c r="B467" t="s">
        <v>965</v>
      </c>
      <c r="C467">
        <v>6209021104</v>
      </c>
      <c r="D467" t="s">
        <v>950</v>
      </c>
    </row>
    <row r="468" spans="1:4">
      <c r="A468" t="s">
        <v>950</v>
      </c>
      <c r="B468" t="s">
        <v>966</v>
      </c>
      <c r="C468">
        <v>6209021811</v>
      </c>
      <c r="D468" t="s">
        <v>950</v>
      </c>
    </row>
    <row r="472" spans="1:4">
      <c r="A472" t="s">
        <v>967</v>
      </c>
      <c r="B472" t="s">
        <v>968</v>
      </c>
      <c r="C472">
        <v>6208020502</v>
      </c>
      <c r="D472" t="s">
        <v>967</v>
      </c>
    </row>
    <row r="473" spans="1:4">
      <c r="A473" t="s">
        <v>967</v>
      </c>
      <c r="B473" t="s">
        <v>969</v>
      </c>
      <c r="C473">
        <v>6208022102</v>
      </c>
      <c r="D473" t="s">
        <v>967</v>
      </c>
    </row>
    <row r="474" spans="1:4">
      <c r="A474" t="s">
        <v>967</v>
      </c>
      <c r="B474" t="s">
        <v>970</v>
      </c>
      <c r="C474">
        <v>6208100302</v>
      </c>
      <c r="D474" t="s">
        <v>967</v>
      </c>
    </row>
    <row r="475" spans="1:4">
      <c r="A475" t="s">
        <v>967</v>
      </c>
      <c r="B475" t="s">
        <v>971</v>
      </c>
      <c r="C475">
        <v>6208022101</v>
      </c>
      <c r="D475" t="s">
        <v>967</v>
      </c>
    </row>
    <row r="476" spans="1:4">
      <c r="A476" t="s">
        <v>967</v>
      </c>
      <c r="B476" t="s">
        <v>972</v>
      </c>
      <c r="C476">
        <v>6208021903</v>
      </c>
      <c r="D476" t="s">
        <v>967</v>
      </c>
    </row>
    <row r="477" spans="1:4">
      <c r="A477" t="s">
        <v>967</v>
      </c>
      <c r="B477" t="s">
        <v>973</v>
      </c>
      <c r="C477">
        <v>6208021902</v>
      </c>
      <c r="D477" t="s">
        <v>967</v>
      </c>
    </row>
    <row r="478" spans="1:4">
      <c r="A478" t="s">
        <v>967</v>
      </c>
      <c r="B478" t="s">
        <v>974</v>
      </c>
      <c r="C478">
        <v>6208021102</v>
      </c>
      <c r="D478" t="s">
        <v>967</v>
      </c>
    </row>
    <row r="479" spans="1:4">
      <c r="A479" t="s">
        <v>967</v>
      </c>
      <c r="B479" t="s">
        <v>975</v>
      </c>
      <c r="C479">
        <v>6208021901</v>
      </c>
      <c r="D479" t="s">
        <v>967</v>
      </c>
    </row>
    <row r="480" spans="1:4">
      <c r="A480" t="s">
        <v>967</v>
      </c>
      <c r="B480" t="s">
        <v>976</v>
      </c>
      <c r="C480">
        <v>6208021812</v>
      </c>
      <c r="D480" t="s">
        <v>967</v>
      </c>
    </row>
    <row r="481" spans="1:4">
      <c r="A481" t="s">
        <v>967</v>
      </c>
      <c r="B481" t="s">
        <v>977</v>
      </c>
      <c r="C481">
        <v>6208020504</v>
      </c>
      <c r="D481" t="s">
        <v>967</v>
      </c>
    </row>
    <row r="482" spans="1:4">
      <c r="A482" t="s">
        <v>967</v>
      </c>
      <c r="B482" t="s">
        <v>978</v>
      </c>
      <c r="C482">
        <v>6208021701</v>
      </c>
      <c r="D482" t="s">
        <v>967</v>
      </c>
    </row>
    <row r="483" spans="1:4">
      <c r="A483" t="s">
        <v>967</v>
      </c>
      <c r="B483" t="s">
        <v>979</v>
      </c>
      <c r="C483">
        <v>6208021103</v>
      </c>
      <c r="D483" t="s">
        <v>967</v>
      </c>
    </row>
    <row r="484" spans="1:4">
      <c r="A484" t="s">
        <v>967</v>
      </c>
      <c r="B484" t="s">
        <v>980</v>
      </c>
      <c r="C484">
        <v>6208021813</v>
      </c>
      <c r="D484" t="s">
        <v>967</v>
      </c>
    </row>
    <row r="485" spans="1:4">
      <c r="A485" t="s">
        <v>967</v>
      </c>
      <c r="B485" t="s">
        <v>981</v>
      </c>
      <c r="C485">
        <v>6208021101</v>
      </c>
      <c r="D485" t="s">
        <v>967</v>
      </c>
    </row>
    <row r="486" spans="1:4">
      <c r="A486" t="s">
        <v>967</v>
      </c>
      <c r="B486" t="s">
        <v>982</v>
      </c>
      <c r="C486">
        <v>6208021104</v>
      </c>
      <c r="D486" t="s">
        <v>967</v>
      </c>
    </row>
    <row r="487" spans="1:4">
      <c r="A487" t="s">
        <v>967</v>
      </c>
      <c r="B487" t="s">
        <v>983</v>
      </c>
      <c r="C487">
        <v>6208021811</v>
      </c>
      <c r="D487" t="s">
        <v>967</v>
      </c>
    </row>
    <row r="491" spans="1:4">
      <c r="A491" t="s">
        <v>984</v>
      </c>
      <c r="B491" t="s">
        <v>985</v>
      </c>
      <c r="C491">
        <v>6221020502</v>
      </c>
      <c r="D491" t="s">
        <v>984</v>
      </c>
    </row>
    <row r="492" spans="1:4">
      <c r="A492" t="s">
        <v>984</v>
      </c>
      <c r="B492" t="s">
        <v>986</v>
      </c>
      <c r="C492">
        <v>6221022102</v>
      </c>
      <c r="D492" t="s">
        <v>984</v>
      </c>
    </row>
    <row r="493" spans="1:4">
      <c r="A493" t="s">
        <v>984</v>
      </c>
      <c r="B493" t="s">
        <v>987</v>
      </c>
      <c r="C493">
        <v>6221100302</v>
      </c>
      <c r="D493" t="s">
        <v>984</v>
      </c>
    </row>
    <row r="494" spans="1:4">
      <c r="A494" t="s">
        <v>984</v>
      </c>
      <c r="B494" t="s">
        <v>988</v>
      </c>
      <c r="C494">
        <v>6221022101</v>
      </c>
      <c r="D494" t="s">
        <v>984</v>
      </c>
    </row>
    <row r="495" spans="1:4">
      <c r="A495" t="s">
        <v>984</v>
      </c>
      <c r="B495" t="s">
        <v>989</v>
      </c>
      <c r="C495">
        <v>6221021903</v>
      </c>
      <c r="D495" t="s">
        <v>984</v>
      </c>
    </row>
    <row r="496" spans="1:4">
      <c r="A496" t="s">
        <v>984</v>
      </c>
      <c r="B496" t="s">
        <v>990</v>
      </c>
      <c r="C496">
        <v>6221021902</v>
      </c>
      <c r="D496" t="s">
        <v>984</v>
      </c>
    </row>
    <row r="497" spans="1:4">
      <c r="A497" t="s">
        <v>984</v>
      </c>
      <c r="B497" t="s">
        <v>991</v>
      </c>
      <c r="C497">
        <v>6221021102</v>
      </c>
      <c r="D497" t="s">
        <v>984</v>
      </c>
    </row>
    <row r="498" spans="1:4">
      <c r="A498" t="s">
        <v>984</v>
      </c>
      <c r="B498" t="s">
        <v>992</v>
      </c>
      <c r="C498">
        <v>6221021901</v>
      </c>
      <c r="D498" t="s">
        <v>984</v>
      </c>
    </row>
    <row r="499" spans="1:4">
      <c r="A499" t="s">
        <v>984</v>
      </c>
      <c r="B499" t="s">
        <v>993</v>
      </c>
      <c r="C499">
        <v>6221021812</v>
      </c>
      <c r="D499" t="s">
        <v>984</v>
      </c>
    </row>
    <row r="500" spans="1:4">
      <c r="A500" t="s">
        <v>984</v>
      </c>
      <c r="B500" t="s">
        <v>994</v>
      </c>
      <c r="C500">
        <v>6221020504</v>
      </c>
      <c r="D500" t="s">
        <v>984</v>
      </c>
    </row>
    <row r="501" spans="1:4">
      <c r="A501" t="s">
        <v>984</v>
      </c>
      <c r="B501" t="s">
        <v>995</v>
      </c>
      <c r="C501">
        <v>6221021701</v>
      </c>
      <c r="D501" t="s">
        <v>984</v>
      </c>
    </row>
    <row r="502" spans="1:4">
      <c r="A502" t="s">
        <v>984</v>
      </c>
      <c r="B502" t="s">
        <v>996</v>
      </c>
      <c r="C502">
        <v>6221021103</v>
      </c>
      <c r="D502" t="s">
        <v>984</v>
      </c>
    </row>
    <row r="503" spans="1:4">
      <c r="A503" t="s">
        <v>984</v>
      </c>
      <c r="B503" t="s">
        <v>997</v>
      </c>
      <c r="C503">
        <v>6221021813</v>
      </c>
      <c r="D503" t="s">
        <v>984</v>
      </c>
    </row>
    <row r="504" spans="1:4">
      <c r="A504" t="s">
        <v>984</v>
      </c>
      <c r="B504" t="s">
        <v>998</v>
      </c>
      <c r="C504">
        <v>6221021101</v>
      </c>
      <c r="D504" t="s">
        <v>984</v>
      </c>
    </row>
    <row r="505" spans="1:4">
      <c r="A505" t="s">
        <v>984</v>
      </c>
      <c r="B505" t="s">
        <v>999</v>
      </c>
      <c r="C505">
        <v>6221021104</v>
      </c>
      <c r="D505" t="s">
        <v>984</v>
      </c>
    </row>
    <row r="506" spans="1:4">
      <c r="A506" t="s">
        <v>984</v>
      </c>
      <c r="B506" t="s">
        <v>1000</v>
      </c>
      <c r="C506">
        <v>6221021811</v>
      </c>
      <c r="D506" t="s">
        <v>984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9" workbookViewId="0">
      <selection activeCell="F53" sqref="F53"/>
    </sheetView>
  </sheetViews>
  <sheetFormatPr baseColWidth="10" defaultRowHeight="15"/>
  <cols>
    <col min="6" max="6" width="12.28515625" customWidth="1"/>
    <col min="7" max="7" width="14" bestFit="1" customWidth="1"/>
    <col min="8" max="8" width="12.5703125" style="394" bestFit="1" customWidth="1"/>
    <col min="11" max="11" width="12.5703125" bestFit="1" customWidth="1"/>
    <col min="12" max="12" width="14.140625" customWidth="1"/>
    <col min="13" max="13" width="12.5703125" bestFit="1" customWidth="1"/>
  </cols>
  <sheetData>
    <row r="1" spans="1:14" ht="15.75" thickBot="1"/>
    <row r="2" spans="1:14" ht="39" thickBot="1">
      <c r="A2" s="388" t="s">
        <v>1081</v>
      </c>
      <c r="B2" s="590" t="s">
        <v>627</v>
      </c>
      <c r="C2" s="591"/>
      <c r="D2" s="591"/>
      <c r="E2" s="591"/>
      <c r="F2" s="592"/>
      <c r="G2" s="389" t="s">
        <v>1082</v>
      </c>
      <c r="H2" s="395" t="s">
        <v>1083</v>
      </c>
      <c r="I2" s="390" t="s">
        <v>472</v>
      </c>
      <c r="J2" s="390" t="s">
        <v>1084</v>
      </c>
      <c r="K2" s="389" t="s">
        <v>1085</v>
      </c>
      <c r="L2" s="389" t="s">
        <v>888</v>
      </c>
      <c r="M2" s="390" t="s">
        <v>1086</v>
      </c>
      <c r="N2" s="389" t="s">
        <v>1087</v>
      </c>
    </row>
    <row r="4" spans="1:14">
      <c r="A4" s="391">
        <v>10010101</v>
      </c>
      <c r="B4" s="589" t="s">
        <v>1088</v>
      </c>
      <c r="C4" s="589"/>
      <c r="D4" s="589"/>
      <c r="E4" s="589"/>
      <c r="F4" s="589"/>
      <c r="G4" s="396"/>
      <c r="H4" s="397">
        <f>+SUMIFS('GASTOS MAS INVERSIONES'!$N$14:$N$104,'GASTOS MAS INVERSIONES'!$B$14:$B$104,'Total Presupuesto'!A4,'GASTOS MAS INVERSIONES'!$H$14:$H$104,8)</f>
        <v>0</v>
      </c>
      <c r="I4" s="397">
        <f>+SUMIFS('GASTOS MAS INVERSIONES'!$N$14:$N$104,'GASTOS MAS INVERSIONES'!$B$14:$B$104,'Total Presupuesto'!A4,'GASTOS MAS INVERSIONES'!$H$14:$H$104,7)</f>
        <v>0</v>
      </c>
      <c r="J4" s="396"/>
      <c r="K4" s="398">
        <f>+SUM(H4:J4)</f>
        <v>0</v>
      </c>
      <c r="L4" s="397">
        <f>+SUMIFS('GASTOS MAS INVERSIONES'!$N$14:$N$104,'GASTOS MAS INVERSIONES'!$B$14:$B$104,'Total Presupuesto'!A4,'GASTOS MAS INVERSIONES'!$H$14:$H$104,3)+SUMIFS('GASTOS MAS INVERSIONES'!$N$14:$N$104,'GASTOS MAS INVERSIONES'!$B$14:$B$104,'Total Presupuesto'!A4,'GASTOS MAS INVERSIONES'!$H$14:$H$104,4)+SUMIFS('GASTOS MAS INVERSIONES'!$N$14:$N$104,'GASTOS MAS INVERSIONES'!$B$14:$B$104,'Total Presupuesto'!A4,'GASTOS MAS INVERSIONES'!$H$14:$H$104,6)</f>
        <v>0</v>
      </c>
      <c r="M4" s="398">
        <f>+K4+L4</f>
        <v>0</v>
      </c>
      <c r="N4" s="396"/>
    </row>
    <row r="5" spans="1:14">
      <c r="A5" s="391">
        <v>10010102</v>
      </c>
      <c r="B5" s="589" t="s">
        <v>1089</v>
      </c>
      <c r="C5" s="589"/>
      <c r="D5" s="589"/>
      <c r="E5" s="589"/>
      <c r="F5" s="589"/>
      <c r="G5" s="396"/>
      <c r="H5" s="397">
        <f>+SUMIFS('GASTOS MAS INVERSIONES'!$N$14:$N$104,'GASTOS MAS INVERSIONES'!$B$14:$B$104,'Total Presupuesto'!A5,'GASTOS MAS INVERSIONES'!$H$14:$H$104,8)</f>
        <v>0</v>
      </c>
      <c r="I5" s="397">
        <f>+SUMIFS('GASTOS MAS INVERSIONES'!$N$14:$N$104,'GASTOS MAS INVERSIONES'!$B$14:$B$104,'Total Presupuesto'!A5,'GASTOS MAS INVERSIONES'!$H$14:$H$104,7)</f>
        <v>0</v>
      </c>
      <c r="J5" s="396"/>
      <c r="K5" s="398">
        <f t="shared" ref="K5:K33" si="0">+SUM(H5:J5)</f>
        <v>0</v>
      </c>
      <c r="L5" s="397">
        <f>+SUMIFS('GASTOS MAS INVERSIONES'!$N$14:$N$104,'GASTOS MAS INVERSIONES'!$B$14:$B$104,'Total Presupuesto'!A5,'GASTOS MAS INVERSIONES'!$H$14:$H$104,3)+SUMIFS('GASTOS MAS INVERSIONES'!$N$14:$N$104,'GASTOS MAS INVERSIONES'!$B$14:$B$104,'Total Presupuesto'!A5,'GASTOS MAS INVERSIONES'!$H$14:$H$104,4)+SUMIFS('GASTOS MAS INVERSIONES'!$N$14:$N$104,'GASTOS MAS INVERSIONES'!$B$14:$B$104,'Total Presupuesto'!A5,'GASTOS MAS INVERSIONES'!$H$14:$H$104,6)</f>
        <v>0</v>
      </c>
      <c r="M5" s="398">
        <f t="shared" ref="M5:M33" si="1">+K5+L5</f>
        <v>0</v>
      </c>
      <c r="N5" s="396"/>
    </row>
    <row r="6" spans="1:14">
      <c r="A6" s="391">
        <v>10020101</v>
      </c>
      <c r="B6" s="589" t="s">
        <v>1090</v>
      </c>
      <c r="C6" s="589"/>
      <c r="D6" s="589"/>
      <c r="E6" s="589"/>
      <c r="F6" s="589"/>
      <c r="G6" s="396"/>
      <c r="H6" s="397">
        <f>+SUMIFS('GASTOS MAS INVERSIONES'!$N$14:$N$104,'GASTOS MAS INVERSIONES'!$B$14:$B$104,'Total Presupuesto'!A6,'GASTOS MAS INVERSIONES'!$H$14:$H$104,8)</f>
        <v>0</v>
      </c>
      <c r="I6" s="397">
        <f>+SUMIFS('GASTOS MAS INVERSIONES'!$N$14:$N$104,'GASTOS MAS INVERSIONES'!$B$14:$B$104,'Total Presupuesto'!A6,'GASTOS MAS INVERSIONES'!$H$14:$H$104,7)</f>
        <v>0</v>
      </c>
      <c r="J6" s="396"/>
      <c r="K6" s="398">
        <f t="shared" si="0"/>
        <v>0</v>
      </c>
      <c r="L6" s="397">
        <f>+SUMIFS('GASTOS MAS INVERSIONES'!$N$14:$N$104,'GASTOS MAS INVERSIONES'!$B$14:$B$104,'Total Presupuesto'!A6,'GASTOS MAS INVERSIONES'!$H$14:$H$104,3)+SUMIFS('GASTOS MAS INVERSIONES'!$N$14:$N$104,'GASTOS MAS INVERSIONES'!$B$14:$B$104,'Total Presupuesto'!A6,'GASTOS MAS INVERSIONES'!$H$14:$H$104,4)+SUMIFS('GASTOS MAS INVERSIONES'!$N$14:$N$104,'GASTOS MAS INVERSIONES'!$B$14:$B$104,'Total Presupuesto'!A6,'GASTOS MAS INVERSIONES'!$H$14:$H$104,6)</f>
        <v>0</v>
      </c>
      <c r="M6" s="398">
        <f t="shared" si="1"/>
        <v>0</v>
      </c>
      <c r="N6" s="396"/>
    </row>
    <row r="7" spans="1:14">
      <c r="A7" s="391">
        <v>10020102</v>
      </c>
      <c r="B7" s="589" t="s">
        <v>1091</v>
      </c>
      <c r="C7" s="589"/>
      <c r="D7" s="589"/>
      <c r="E7" s="589"/>
      <c r="F7" s="589"/>
      <c r="G7" s="396"/>
      <c r="H7" s="397">
        <f>+SUMIFS('GASTOS MAS INVERSIONES'!$N$14:$N$104,'GASTOS MAS INVERSIONES'!$B$14:$B$104,'Total Presupuesto'!A7,'GASTOS MAS INVERSIONES'!$H$14:$H$104,8)</f>
        <v>0</v>
      </c>
      <c r="I7" s="397">
        <f>+SUMIFS('GASTOS MAS INVERSIONES'!$N$14:$N$104,'GASTOS MAS INVERSIONES'!$B$14:$B$104,'Total Presupuesto'!A7,'GASTOS MAS INVERSIONES'!$H$14:$H$104,7)</f>
        <v>0</v>
      </c>
      <c r="J7" s="396"/>
      <c r="K7" s="398">
        <f t="shared" si="0"/>
        <v>0</v>
      </c>
      <c r="L7" s="397">
        <f>+SUMIFS('GASTOS MAS INVERSIONES'!$N$14:$N$104,'GASTOS MAS INVERSIONES'!$B$14:$B$104,'Total Presupuesto'!A7,'GASTOS MAS INVERSIONES'!$H$14:$H$104,3)+SUMIFS('GASTOS MAS INVERSIONES'!$N$14:$N$104,'GASTOS MAS INVERSIONES'!$B$14:$B$104,'Total Presupuesto'!A7,'GASTOS MAS INVERSIONES'!$H$14:$H$104,4)+SUMIFS('GASTOS MAS INVERSIONES'!$N$14:$N$104,'GASTOS MAS INVERSIONES'!$B$14:$B$104,'Total Presupuesto'!A7,'GASTOS MAS INVERSIONES'!$H$14:$H$104,6)</f>
        <v>0</v>
      </c>
      <c r="M7" s="398">
        <f t="shared" si="1"/>
        <v>0</v>
      </c>
      <c r="N7" s="396"/>
    </row>
    <row r="8" spans="1:14">
      <c r="A8" s="391">
        <v>10030101</v>
      </c>
      <c r="B8" s="589" t="s">
        <v>1092</v>
      </c>
      <c r="C8" s="589"/>
      <c r="D8" s="589"/>
      <c r="E8" s="589"/>
      <c r="F8" s="589"/>
      <c r="G8" s="396"/>
      <c r="H8" s="397">
        <f>+SUMIFS('GASTOS MAS INVERSIONES'!$N$14:$N$104,'GASTOS MAS INVERSIONES'!$B$14:$B$104,'Total Presupuesto'!A8,'GASTOS MAS INVERSIONES'!$H$14:$H$104,8)</f>
        <v>0</v>
      </c>
      <c r="I8" s="397">
        <f>+SUMIFS('GASTOS MAS INVERSIONES'!$N$14:$N$104,'GASTOS MAS INVERSIONES'!$B$14:$B$104,'Total Presupuesto'!A8,'GASTOS MAS INVERSIONES'!$H$14:$H$104,7)</f>
        <v>0</v>
      </c>
      <c r="J8" s="396"/>
      <c r="K8" s="398">
        <f t="shared" si="0"/>
        <v>0</v>
      </c>
      <c r="L8" s="397">
        <f>+SUMIFS('GASTOS MAS INVERSIONES'!$N$14:$N$104,'GASTOS MAS INVERSIONES'!$B$14:$B$104,'Total Presupuesto'!A8,'GASTOS MAS INVERSIONES'!$H$14:$H$104,3)+SUMIFS('GASTOS MAS INVERSIONES'!$N$14:$N$104,'GASTOS MAS INVERSIONES'!$B$14:$B$104,'Total Presupuesto'!A8,'GASTOS MAS INVERSIONES'!$H$14:$H$104,4)+SUMIFS('GASTOS MAS INVERSIONES'!$N$14:$N$104,'GASTOS MAS INVERSIONES'!$B$14:$B$104,'Total Presupuesto'!A8,'GASTOS MAS INVERSIONES'!$H$14:$H$104,6)</f>
        <v>0</v>
      </c>
      <c r="M8" s="398">
        <f t="shared" si="1"/>
        <v>0</v>
      </c>
      <c r="N8" s="396"/>
    </row>
    <row r="9" spans="1:14">
      <c r="A9" s="391">
        <v>10030102</v>
      </c>
      <c r="B9" s="589" t="s">
        <v>1093</v>
      </c>
      <c r="C9" s="589"/>
      <c r="D9" s="589"/>
      <c r="E9" s="589"/>
      <c r="F9" s="589"/>
      <c r="G9" s="396"/>
      <c r="H9" s="397">
        <f>+SUMIFS('GASTOS MAS INVERSIONES'!$N$14:$N$104,'GASTOS MAS INVERSIONES'!$B$14:$B$104,'Total Presupuesto'!A9,'GASTOS MAS INVERSIONES'!$H$14:$H$104,8)</f>
        <v>603000</v>
      </c>
      <c r="I9" s="397">
        <f>+SUMIFS('GASTOS MAS INVERSIONES'!$N$14:$N$104,'GASTOS MAS INVERSIONES'!$B$14:$B$104,'Total Presupuesto'!A9,'GASTOS MAS INVERSIONES'!$H$14:$H$104,7)</f>
        <v>0</v>
      </c>
      <c r="J9" s="396"/>
      <c r="K9" s="398">
        <f t="shared" si="0"/>
        <v>603000</v>
      </c>
      <c r="L9" s="397">
        <f>+SUMIFS('GASTOS MAS INVERSIONES'!$N$14:$N$104,'GASTOS MAS INVERSIONES'!$B$14:$B$104,'Total Presupuesto'!A9,'GASTOS MAS INVERSIONES'!$H$14:$H$104,3)+SUMIFS('GASTOS MAS INVERSIONES'!$N$14:$N$104,'GASTOS MAS INVERSIONES'!$B$14:$B$104,'Total Presupuesto'!A9,'GASTOS MAS INVERSIONES'!$H$14:$H$104,4)+SUMIFS('GASTOS MAS INVERSIONES'!$N$14:$N$104,'GASTOS MAS INVERSIONES'!$B$14:$B$104,'Total Presupuesto'!A9,'GASTOS MAS INVERSIONES'!$H$14:$H$104,6)</f>
        <v>0</v>
      </c>
      <c r="M9" s="398">
        <f t="shared" si="1"/>
        <v>603000</v>
      </c>
      <c r="N9" s="396"/>
    </row>
    <row r="10" spans="1:14">
      <c r="A10" s="391">
        <v>10040101</v>
      </c>
      <c r="B10" s="589" t="s">
        <v>1094</v>
      </c>
      <c r="C10" s="589"/>
      <c r="D10" s="589"/>
      <c r="E10" s="589"/>
      <c r="F10" s="589"/>
      <c r="G10" s="396"/>
      <c r="H10" s="397">
        <f>+SUMIFS('GASTOS MAS INVERSIONES'!$N$14:$N$104,'GASTOS MAS INVERSIONES'!$B$14:$B$104,'Total Presupuesto'!A10,'GASTOS MAS INVERSIONES'!$H$14:$H$104,8)</f>
        <v>10434000</v>
      </c>
      <c r="I10" s="397">
        <f>+SUMIFS('GASTOS MAS INVERSIONES'!$N$14:$N$104,'GASTOS MAS INVERSIONES'!$B$14:$B$104,'Total Presupuesto'!A10,'GASTOS MAS INVERSIONES'!$H$14:$H$104,7)</f>
        <v>0</v>
      </c>
      <c r="J10" s="396"/>
      <c r="K10" s="398">
        <f t="shared" si="0"/>
        <v>10434000</v>
      </c>
      <c r="L10" s="397">
        <f>+SUMIFS('GASTOS MAS INVERSIONES'!$N$14:$N$104,'GASTOS MAS INVERSIONES'!$B$14:$B$104,'Total Presupuesto'!A10,'GASTOS MAS INVERSIONES'!$H$14:$H$104,3)+SUMIFS('GASTOS MAS INVERSIONES'!$N$14:$N$104,'GASTOS MAS INVERSIONES'!$B$14:$B$104,'Total Presupuesto'!A10,'GASTOS MAS INVERSIONES'!$H$14:$H$104,4)+SUMIFS('GASTOS MAS INVERSIONES'!$N$14:$N$104,'GASTOS MAS INVERSIONES'!$B$14:$B$104,'Total Presupuesto'!A10,'GASTOS MAS INVERSIONES'!$H$14:$H$104,6)</f>
        <v>0</v>
      </c>
      <c r="M10" s="398">
        <f t="shared" si="1"/>
        <v>10434000</v>
      </c>
      <c r="N10" s="396"/>
    </row>
    <row r="11" spans="1:14">
      <c r="A11" s="391">
        <v>10040102</v>
      </c>
      <c r="B11" s="589" t="s">
        <v>1095</v>
      </c>
      <c r="C11" s="589"/>
      <c r="D11" s="589"/>
      <c r="E11" s="589"/>
      <c r="F11" s="589"/>
      <c r="G11" s="396"/>
      <c r="H11" s="397">
        <f>+SUMIFS('GASTOS MAS INVERSIONES'!$N$14:$N$104,'GASTOS MAS INVERSIONES'!$B$14:$B$104,'Total Presupuesto'!A11,'GASTOS MAS INVERSIONES'!$H$14:$H$104,8)</f>
        <v>0</v>
      </c>
      <c r="I11" s="397">
        <f>+SUMIFS('GASTOS MAS INVERSIONES'!$N$14:$N$104,'GASTOS MAS INVERSIONES'!$B$14:$B$104,'Total Presupuesto'!A11,'GASTOS MAS INVERSIONES'!$H$14:$H$104,7)</f>
        <v>0</v>
      </c>
      <c r="J11" s="396"/>
      <c r="K11" s="398">
        <f t="shared" si="0"/>
        <v>0</v>
      </c>
      <c r="L11" s="397">
        <f>+SUMIFS('GASTOS MAS INVERSIONES'!$N$14:$N$104,'GASTOS MAS INVERSIONES'!$B$14:$B$104,'Total Presupuesto'!A11,'GASTOS MAS INVERSIONES'!$H$14:$H$104,3)+SUMIFS('GASTOS MAS INVERSIONES'!$N$14:$N$104,'GASTOS MAS INVERSIONES'!$B$14:$B$104,'Total Presupuesto'!A11,'GASTOS MAS INVERSIONES'!$H$14:$H$104,4)+SUMIFS('GASTOS MAS INVERSIONES'!$N$14:$N$104,'GASTOS MAS INVERSIONES'!$B$14:$B$104,'Total Presupuesto'!A11,'GASTOS MAS INVERSIONES'!$H$14:$H$104,6)</f>
        <v>0</v>
      </c>
      <c r="M11" s="398">
        <f t="shared" si="1"/>
        <v>0</v>
      </c>
      <c r="N11" s="396"/>
    </row>
    <row r="12" spans="1:14">
      <c r="A12" s="391">
        <v>10040103</v>
      </c>
      <c r="B12" s="589" t="s">
        <v>1096</v>
      </c>
      <c r="C12" s="589"/>
      <c r="D12" s="589"/>
      <c r="E12" s="589"/>
      <c r="F12" s="589"/>
      <c r="G12" s="396"/>
      <c r="H12" s="397">
        <f>+SUMIFS('GASTOS MAS INVERSIONES'!$N$14:$N$104,'GASTOS MAS INVERSIONES'!$B$14:$B$104,'Total Presupuesto'!A12,'GASTOS MAS INVERSIONES'!$H$14:$H$104,8)</f>
        <v>0</v>
      </c>
      <c r="I12" s="397">
        <f>+SUMIFS('GASTOS MAS INVERSIONES'!$N$14:$N$104,'GASTOS MAS INVERSIONES'!$B$14:$B$104,'Total Presupuesto'!A12,'GASTOS MAS INVERSIONES'!$H$14:$H$104,7)</f>
        <v>0</v>
      </c>
      <c r="J12" s="396"/>
      <c r="K12" s="398">
        <f t="shared" si="0"/>
        <v>0</v>
      </c>
      <c r="L12" s="397">
        <f>+SUMIFS('GASTOS MAS INVERSIONES'!$N$14:$N$104,'GASTOS MAS INVERSIONES'!$B$14:$B$104,'Total Presupuesto'!A12,'GASTOS MAS INVERSIONES'!$H$14:$H$104,3)+SUMIFS('GASTOS MAS INVERSIONES'!$N$14:$N$104,'GASTOS MAS INVERSIONES'!$B$14:$B$104,'Total Presupuesto'!A12,'GASTOS MAS INVERSIONES'!$H$14:$H$104,4)+SUMIFS('GASTOS MAS INVERSIONES'!$N$14:$N$104,'GASTOS MAS INVERSIONES'!$B$14:$B$104,'Total Presupuesto'!A12,'GASTOS MAS INVERSIONES'!$H$14:$H$104,6)</f>
        <v>0</v>
      </c>
      <c r="M12" s="398">
        <f t="shared" si="1"/>
        <v>0</v>
      </c>
      <c r="N12" s="396"/>
    </row>
    <row r="13" spans="1:14">
      <c r="A13" s="391">
        <v>10040104</v>
      </c>
      <c r="B13" s="589" t="s">
        <v>1097</v>
      </c>
      <c r="C13" s="589"/>
      <c r="D13" s="589"/>
      <c r="E13" s="589"/>
      <c r="F13" s="589"/>
      <c r="G13" s="396"/>
      <c r="H13" s="397">
        <f>+SUMIFS('GASTOS MAS INVERSIONES'!$N$14:$N$104,'GASTOS MAS INVERSIONES'!$B$14:$B$104,'Total Presupuesto'!A13,'GASTOS MAS INVERSIONES'!$H$14:$H$104,8)</f>
        <v>0</v>
      </c>
      <c r="I13" s="397">
        <f>+SUMIFS('GASTOS MAS INVERSIONES'!$N$14:$N$104,'GASTOS MAS INVERSIONES'!$B$14:$B$104,'Total Presupuesto'!A13,'GASTOS MAS INVERSIONES'!$H$14:$H$104,7)</f>
        <v>0</v>
      </c>
      <c r="J13" s="396"/>
      <c r="K13" s="398">
        <f t="shared" si="0"/>
        <v>0</v>
      </c>
      <c r="L13" s="397">
        <f>+SUMIFS('GASTOS MAS INVERSIONES'!$N$14:$N$104,'GASTOS MAS INVERSIONES'!$B$14:$B$104,'Total Presupuesto'!A13,'GASTOS MAS INVERSIONES'!$H$14:$H$104,3)+SUMIFS('GASTOS MAS INVERSIONES'!$N$14:$N$104,'GASTOS MAS INVERSIONES'!$B$14:$B$104,'Total Presupuesto'!A13,'GASTOS MAS INVERSIONES'!$H$14:$H$104,4)+SUMIFS('GASTOS MAS INVERSIONES'!$N$14:$N$104,'GASTOS MAS INVERSIONES'!$B$14:$B$104,'Total Presupuesto'!A13,'GASTOS MAS INVERSIONES'!$H$14:$H$104,6)</f>
        <v>0</v>
      </c>
      <c r="M13" s="398">
        <f t="shared" si="1"/>
        <v>0</v>
      </c>
      <c r="N13" s="396"/>
    </row>
    <row r="14" spans="1:14">
      <c r="A14" s="391">
        <v>10050101</v>
      </c>
      <c r="B14" s="589" t="s">
        <v>1098</v>
      </c>
      <c r="C14" s="589"/>
      <c r="D14" s="589"/>
      <c r="E14" s="589"/>
      <c r="F14" s="589"/>
      <c r="G14" s="396"/>
      <c r="H14" s="397">
        <f>+SUMIFS('GASTOS MAS INVERSIONES'!$N$14:$N$104,'GASTOS MAS INVERSIONES'!$B$14:$B$104,'Total Presupuesto'!A14,'GASTOS MAS INVERSIONES'!$H$14:$H$104,5)</f>
        <v>2413000</v>
      </c>
      <c r="I14" s="397">
        <f>+SUMIFS('GASTOS MAS INVERSIONES'!$N$14:$N$104,'GASTOS MAS INVERSIONES'!$B$14:$B$104,'Total Presupuesto'!A14,'GASTOS MAS INVERSIONES'!$H$14:$H$104,7)</f>
        <v>0</v>
      </c>
      <c r="J14" s="396"/>
      <c r="K14" s="398">
        <f t="shared" si="0"/>
        <v>2413000</v>
      </c>
      <c r="L14" s="397">
        <f>+SUMIFS('GASTOS MAS INVERSIONES'!$N$14:$N$104,'GASTOS MAS INVERSIONES'!$B$14:$B$104,'Total Presupuesto'!A14,'GASTOS MAS INVERSIONES'!$H$14:$H$104,3)+SUMIFS('GASTOS MAS INVERSIONES'!$N$14:$N$104,'GASTOS MAS INVERSIONES'!$B$14:$B$104,'Total Presupuesto'!A14,'GASTOS MAS INVERSIONES'!$H$14:$H$104,4)+SUMIFS('GASTOS MAS INVERSIONES'!$N$14:$N$104,'GASTOS MAS INVERSIONES'!$B$14:$B$104,'Total Presupuesto'!A14,'GASTOS MAS INVERSIONES'!$H$14:$H$104,6)</f>
        <v>0</v>
      </c>
      <c r="M14" s="398">
        <f t="shared" si="1"/>
        <v>2413000</v>
      </c>
      <c r="N14" s="396"/>
    </row>
    <row r="15" spans="1:14">
      <c r="A15" s="391">
        <v>10050102</v>
      </c>
      <c r="B15" s="589" t="s">
        <v>1099</v>
      </c>
      <c r="C15" s="589"/>
      <c r="D15" s="589"/>
      <c r="E15" s="589"/>
      <c r="F15" s="589"/>
      <c r="G15" s="396"/>
      <c r="H15" s="397">
        <f>+SUMIFS('GASTOS MAS INVERSIONES'!$N$14:$N$104,'GASTOS MAS INVERSIONES'!$B$14:$B$104,'Total Presupuesto'!A15,'GASTOS MAS INVERSIONES'!$H$14:$H$104,5)</f>
        <v>0</v>
      </c>
      <c r="I15" s="397">
        <f>+SUMIFS('GASTOS MAS INVERSIONES'!$N$14:$N$104,'GASTOS MAS INVERSIONES'!$B$14:$B$104,'Total Presupuesto'!A15,'GASTOS MAS INVERSIONES'!$H$14:$H$104,7)</f>
        <v>0</v>
      </c>
      <c r="J15" s="396"/>
      <c r="K15" s="398">
        <f t="shared" si="0"/>
        <v>0</v>
      </c>
      <c r="L15" s="397">
        <f>+SUMIFS('GASTOS MAS INVERSIONES'!$N$14:$N$104,'GASTOS MAS INVERSIONES'!$B$14:$B$104,'Total Presupuesto'!A15,'GASTOS MAS INVERSIONES'!$H$14:$H$104,3)+SUMIFS('GASTOS MAS INVERSIONES'!$N$14:$N$104,'GASTOS MAS INVERSIONES'!$B$14:$B$104,'Total Presupuesto'!A15,'GASTOS MAS INVERSIONES'!$H$14:$H$104,4)+SUMIFS('GASTOS MAS INVERSIONES'!$N$14:$N$104,'GASTOS MAS INVERSIONES'!$B$14:$B$104,'Total Presupuesto'!A15,'GASTOS MAS INVERSIONES'!$H$14:$H$104,6)</f>
        <v>0</v>
      </c>
      <c r="M15" s="398">
        <f t="shared" si="1"/>
        <v>0</v>
      </c>
      <c r="N15" s="396"/>
    </row>
    <row r="16" spans="1:14">
      <c r="A16" s="391">
        <v>10060101</v>
      </c>
      <c r="B16" s="589" t="s">
        <v>1100</v>
      </c>
      <c r="C16" s="589"/>
      <c r="D16" s="589"/>
      <c r="E16" s="589"/>
      <c r="F16" s="589"/>
      <c r="G16" s="396"/>
      <c r="H16" s="397">
        <f>+SUMIFS('GASTOS MAS INVERSIONES'!$N$14:$N$104,'GASTOS MAS INVERSIONES'!$B$14:$B$104,'Total Presupuesto'!A16,'GASTOS MAS INVERSIONES'!$H$14:$H$104,8)</f>
        <v>0</v>
      </c>
      <c r="I16" s="397">
        <f>+SUMIFS('GASTOS MAS INVERSIONES'!$N$14:$N$104,'GASTOS MAS INVERSIONES'!$B$14:$B$104,'Total Presupuesto'!A16,'GASTOS MAS INVERSIONES'!$H$14:$H$104,7)</f>
        <v>0</v>
      </c>
      <c r="J16" s="396"/>
      <c r="K16" s="398">
        <f t="shared" si="0"/>
        <v>0</v>
      </c>
      <c r="L16" s="397">
        <f>+SUMIFS('GASTOS MAS INVERSIONES'!$N$14:$N$104,'GASTOS MAS INVERSIONES'!$B$14:$B$104,'Total Presupuesto'!A16,'GASTOS MAS INVERSIONES'!$H$14:$H$104,3)+SUMIFS('GASTOS MAS INVERSIONES'!$N$14:$N$104,'GASTOS MAS INVERSIONES'!$B$14:$B$104,'Total Presupuesto'!A16,'GASTOS MAS INVERSIONES'!$H$14:$H$104,4)+SUMIFS('GASTOS MAS INVERSIONES'!$N$14:$N$104,'GASTOS MAS INVERSIONES'!$B$14:$B$104,'Total Presupuesto'!A16,'GASTOS MAS INVERSIONES'!$H$14:$H$104,6)</f>
        <v>0</v>
      </c>
      <c r="M16" s="398">
        <f t="shared" si="1"/>
        <v>0</v>
      </c>
      <c r="N16" s="396"/>
    </row>
    <row r="17" spans="1:14">
      <c r="A17" s="391">
        <v>10070101</v>
      </c>
      <c r="B17" s="589" t="s">
        <v>1101</v>
      </c>
      <c r="C17" s="589"/>
      <c r="D17" s="589"/>
      <c r="E17" s="589"/>
      <c r="F17" s="589"/>
      <c r="G17" s="396"/>
      <c r="H17" s="397">
        <f>+SUMIFS('GASTOS MAS INVERSIONES'!$N$14:$N$104,'GASTOS MAS INVERSIONES'!$B$14:$B$104,'Total Presupuesto'!A17,'GASTOS MAS INVERSIONES'!$H$14:$H$104,8)</f>
        <v>0</v>
      </c>
      <c r="I17" s="397">
        <f>+SUMIFS('GASTOS MAS INVERSIONES'!$N$14:$N$104,'GASTOS MAS INVERSIONES'!$B$14:$B$104,'Total Presupuesto'!A17,'GASTOS MAS INVERSIONES'!$H$14:$H$104,7)</f>
        <v>0</v>
      </c>
      <c r="J17" s="396"/>
      <c r="K17" s="398">
        <f t="shared" si="0"/>
        <v>0</v>
      </c>
      <c r="L17" s="397">
        <f>+SUMIFS('GASTOS MAS INVERSIONES'!$N$14:$N$104,'GASTOS MAS INVERSIONES'!$B$14:$B$104,'Total Presupuesto'!A17,'GASTOS MAS INVERSIONES'!$H$14:$H$104,3)+SUMIFS('GASTOS MAS INVERSIONES'!$N$14:$N$104,'GASTOS MAS INVERSIONES'!$B$14:$B$104,'Total Presupuesto'!A17,'GASTOS MAS INVERSIONES'!$H$14:$H$104,4)+SUMIFS('GASTOS MAS INVERSIONES'!$N$14:$N$104,'GASTOS MAS INVERSIONES'!$B$14:$B$104,'Total Presupuesto'!A17,'GASTOS MAS INVERSIONES'!$H$14:$H$104,6)</f>
        <v>0</v>
      </c>
      <c r="M17" s="398">
        <f t="shared" si="1"/>
        <v>0</v>
      </c>
      <c r="N17" s="396"/>
    </row>
    <row r="18" spans="1:14">
      <c r="A18" s="391">
        <v>10070102</v>
      </c>
      <c r="B18" s="589" t="s">
        <v>1102</v>
      </c>
      <c r="C18" s="589"/>
      <c r="D18" s="589"/>
      <c r="E18" s="589"/>
      <c r="F18" s="589"/>
      <c r="G18" s="396"/>
      <c r="H18" s="397">
        <f>+SUMIFS('GASTOS MAS INVERSIONES'!$N$14:$N$104,'GASTOS MAS INVERSIONES'!$B$14:$B$104,'Total Presupuesto'!A18,'GASTOS MAS INVERSIONES'!$H$14:$H$104,8)</f>
        <v>0</v>
      </c>
      <c r="I18" s="397">
        <f>+SUMIFS('GASTOS MAS INVERSIONES'!$N$14:$N$104,'GASTOS MAS INVERSIONES'!$B$14:$B$104,'Total Presupuesto'!A18,'GASTOS MAS INVERSIONES'!$H$14:$H$104,7)</f>
        <v>0</v>
      </c>
      <c r="J18" s="396"/>
      <c r="K18" s="398">
        <f t="shared" si="0"/>
        <v>0</v>
      </c>
      <c r="L18" s="397">
        <f>+SUMIFS('GASTOS MAS INVERSIONES'!$N$14:$N$104,'GASTOS MAS INVERSIONES'!$B$14:$B$104,'Total Presupuesto'!A18,'GASTOS MAS INVERSIONES'!$H$14:$H$104,3)+SUMIFS('GASTOS MAS INVERSIONES'!$N$14:$N$104,'GASTOS MAS INVERSIONES'!$B$14:$B$104,'Total Presupuesto'!A18,'GASTOS MAS INVERSIONES'!$H$14:$H$104,4)+SUMIFS('GASTOS MAS INVERSIONES'!$N$14:$N$104,'GASTOS MAS INVERSIONES'!$B$14:$B$104,'Total Presupuesto'!A18,'GASTOS MAS INVERSIONES'!$H$14:$H$104,6)</f>
        <v>0</v>
      </c>
      <c r="M18" s="398">
        <f t="shared" si="1"/>
        <v>0</v>
      </c>
      <c r="N18" s="396"/>
    </row>
    <row r="19" spans="1:14">
      <c r="A19" s="391">
        <v>10070103</v>
      </c>
      <c r="B19" s="589" t="s">
        <v>1103</v>
      </c>
      <c r="C19" s="589"/>
      <c r="D19" s="589"/>
      <c r="E19" s="589"/>
      <c r="F19" s="589"/>
      <c r="G19" s="396"/>
      <c r="H19" s="397">
        <f>+SUMIFS('GASTOS MAS INVERSIONES'!$N$14:$N$104,'GASTOS MAS INVERSIONES'!$B$14:$B$104,'Total Presupuesto'!A19,'GASTOS MAS INVERSIONES'!$H$14:$H$104,8)</f>
        <v>0</v>
      </c>
      <c r="I19" s="397">
        <f>+SUMIFS('GASTOS MAS INVERSIONES'!$N$14:$N$104,'GASTOS MAS INVERSIONES'!$B$14:$B$104,'Total Presupuesto'!A19,'GASTOS MAS INVERSIONES'!$H$14:$H$104,7)</f>
        <v>0</v>
      </c>
      <c r="J19" s="396"/>
      <c r="K19" s="398">
        <f t="shared" si="0"/>
        <v>0</v>
      </c>
      <c r="L19" s="397">
        <f>+SUMIFS('GASTOS MAS INVERSIONES'!$N$14:$N$104,'GASTOS MAS INVERSIONES'!$B$14:$B$104,'Total Presupuesto'!A19,'GASTOS MAS INVERSIONES'!$H$14:$H$104,3)+SUMIFS('GASTOS MAS INVERSIONES'!$N$14:$N$104,'GASTOS MAS INVERSIONES'!$B$14:$B$104,'Total Presupuesto'!A19,'GASTOS MAS INVERSIONES'!$H$14:$H$104,4)+SUMIFS('GASTOS MAS INVERSIONES'!$N$14:$N$104,'GASTOS MAS INVERSIONES'!$B$14:$B$104,'Total Presupuesto'!A19,'GASTOS MAS INVERSIONES'!$H$14:$H$104,6)</f>
        <v>0</v>
      </c>
      <c r="M19" s="398">
        <f t="shared" si="1"/>
        <v>0</v>
      </c>
      <c r="N19" s="396"/>
    </row>
    <row r="20" spans="1:14">
      <c r="A20" s="391">
        <v>10080101</v>
      </c>
      <c r="B20" s="589" t="s">
        <v>1104</v>
      </c>
      <c r="C20" s="589"/>
      <c r="D20" s="589"/>
      <c r="E20" s="589"/>
      <c r="F20" s="589"/>
      <c r="G20" s="396"/>
      <c r="H20" s="397">
        <f>+SUMIFS('GASTOS MAS INVERSIONES'!$N$14:$N$104,'GASTOS MAS INVERSIONES'!$B$14:$B$104,'Total Presupuesto'!A20,'GASTOS MAS INVERSIONES'!$H$14:$H$104,8)</f>
        <v>0</v>
      </c>
      <c r="I20" s="397">
        <f>+SUMIFS('GASTOS MAS INVERSIONES'!$N$14:$N$104,'GASTOS MAS INVERSIONES'!$B$14:$B$104,'Total Presupuesto'!A20,'GASTOS MAS INVERSIONES'!$H$14:$H$104,7)</f>
        <v>0</v>
      </c>
      <c r="J20" s="396"/>
      <c r="K20" s="398">
        <f t="shared" si="0"/>
        <v>0</v>
      </c>
      <c r="L20" s="397">
        <f>+SUMIFS('GASTOS MAS INVERSIONES'!$N$14:$N$104,'GASTOS MAS INVERSIONES'!$B$14:$B$104,'Total Presupuesto'!A20,'GASTOS MAS INVERSIONES'!$H$14:$H$104,3)+SUMIFS('GASTOS MAS INVERSIONES'!$N$14:$N$104,'GASTOS MAS INVERSIONES'!$B$14:$B$104,'Total Presupuesto'!A20,'GASTOS MAS INVERSIONES'!$H$14:$H$104,4)+SUMIFS('GASTOS MAS INVERSIONES'!$N$14:$N$104,'GASTOS MAS INVERSIONES'!$B$14:$B$104,'Total Presupuesto'!A20,'GASTOS MAS INVERSIONES'!$H$14:$H$104,6)</f>
        <v>0</v>
      </c>
      <c r="M20" s="398">
        <f t="shared" si="1"/>
        <v>0</v>
      </c>
      <c r="N20" s="396"/>
    </row>
    <row r="21" spans="1:14">
      <c r="A21" s="391">
        <v>10080102</v>
      </c>
      <c r="B21" s="589" t="s">
        <v>1105</v>
      </c>
      <c r="C21" s="589"/>
      <c r="D21" s="589"/>
      <c r="E21" s="589"/>
      <c r="F21" s="589"/>
      <c r="G21" s="396"/>
      <c r="H21" s="397">
        <f>+SUMIFS('GASTOS MAS INVERSIONES'!$N$14:$N$104,'GASTOS MAS INVERSIONES'!$B$14:$B$104,'Total Presupuesto'!A21,'GASTOS MAS INVERSIONES'!$H$14:$H$104,8)</f>
        <v>48604000</v>
      </c>
      <c r="I21" s="397">
        <f>+SUMIFS('GASTOS MAS INVERSIONES'!$N$14:$N$104,'GASTOS MAS INVERSIONES'!$B$14:$B$104,'Total Presupuesto'!A21,'GASTOS MAS INVERSIONES'!$H$14:$H$104,7)</f>
        <v>0</v>
      </c>
      <c r="J21" s="396"/>
      <c r="K21" s="398">
        <f t="shared" si="0"/>
        <v>48604000</v>
      </c>
      <c r="L21" s="397">
        <f>+SUMIFS('GASTOS MAS INVERSIONES'!$N$14:$N$104,'GASTOS MAS INVERSIONES'!$B$14:$B$104,'Total Presupuesto'!A21,'GASTOS MAS INVERSIONES'!$H$14:$H$104,3)+SUMIFS('GASTOS MAS INVERSIONES'!$N$14:$N$104,'GASTOS MAS INVERSIONES'!$B$14:$B$104,'Total Presupuesto'!A21,'GASTOS MAS INVERSIONES'!$H$14:$H$104,4)+SUMIFS('GASTOS MAS INVERSIONES'!$N$14:$N$104,'GASTOS MAS INVERSIONES'!$B$14:$B$104,'Total Presupuesto'!A21,'GASTOS MAS INVERSIONES'!$H$14:$H$104,6)</f>
        <v>0</v>
      </c>
      <c r="M21" s="398">
        <f t="shared" si="1"/>
        <v>48604000</v>
      </c>
      <c r="N21" s="396"/>
    </row>
    <row r="22" spans="1:14">
      <c r="A22" s="391">
        <v>10090101</v>
      </c>
      <c r="B22" s="589" t="s">
        <v>1106</v>
      </c>
      <c r="C22" s="589"/>
      <c r="D22" s="589"/>
      <c r="E22" s="589"/>
      <c r="F22" s="589"/>
      <c r="G22" s="396"/>
      <c r="H22" s="397">
        <f>+SUMIFS('GASTOS MAS INVERSIONES'!$N$14:$N$104,'GASTOS MAS INVERSIONES'!$B$14:$B$104,'Total Presupuesto'!A22,'GASTOS MAS INVERSIONES'!$H$14:$H$104,8)</f>
        <v>0</v>
      </c>
      <c r="I22" s="397">
        <f>+SUMIFS('GASTOS MAS INVERSIONES'!$N$14:$N$104,'GASTOS MAS INVERSIONES'!$B$14:$B$104,'Total Presupuesto'!A22,'GASTOS MAS INVERSIONES'!$H$14:$H$104,7)</f>
        <v>0</v>
      </c>
      <c r="J22" s="396"/>
      <c r="K22" s="398">
        <f t="shared" si="0"/>
        <v>0</v>
      </c>
      <c r="L22" s="397">
        <f>+SUMIFS('GASTOS MAS INVERSIONES'!$N$14:$N$104,'GASTOS MAS INVERSIONES'!$B$14:$B$104,'Total Presupuesto'!A22,'GASTOS MAS INVERSIONES'!$H$14:$H$104,3)+SUMIFS('GASTOS MAS INVERSIONES'!$N$14:$N$104,'GASTOS MAS INVERSIONES'!$B$14:$B$104,'Total Presupuesto'!A22,'GASTOS MAS INVERSIONES'!$H$14:$H$104,4)+SUMIFS('GASTOS MAS INVERSIONES'!$N$14:$N$104,'GASTOS MAS INVERSIONES'!$B$14:$B$104,'Total Presupuesto'!A22,'GASTOS MAS INVERSIONES'!$H$14:$H$104,6)</f>
        <v>0</v>
      </c>
      <c r="M22" s="398">
        <f t="shared" si="1"/>
        <v>0</v>
      </c>
      <c r="N22" s="396"/>
    </row>
    <row r="23" spans="1:14">
      <c r="A23" s="391">
        <v>10100101</v>
      </c>
      <c r="B23" s="589" t="s">
        <v>1107</v>
      </c>
      <c r="C23" s="589"/>
      <c r="D23" s="589"/>
      <c r="E23" s="589"/>
      <c r="F23" s="589"/>
      <c r="G23" s="396"/>
      <c r="H23" s="397">
        <f>+SUMIFS('GASTOS MAS INVERSIONES'!$N$14:$N$104,'GASTOS MAS INVERSIONES'!$B$14:$B$104,'Total Presupuesto'!A23,'GASTOS MAS INVERSIONES'!$H$14:$H$104,8)</f>
        <v>0</v>
      </c>
      <c r="I23" s="397">
        <f>+SUMIFS('GASTOS MAS INVERSIONES'!$N$14:$N$104,'GASTOS MAS INVERSIONES'!$B$14:$B$104,'Total Presupuesto'!A23,'GASTOS MAS INVERSIONES'!$H$14:$H$104,7)</f>
        <v>0</v>
      </c>
      <c r="J23" s="396"/>
      <c r="K23" s="398">
        <f t="shared" si="0"/>
        <v>0</v>
      </c>
      <c r="L23" s="397">
        <f>+SUMIFS('GASTOS MAS INVERSIONES'!$N$14:$N$104,'GASTOS MAS INVERSIONES'!$B$14:$B$104,'Total Presupuesto'!A23,'GASTOS MAS INVERSIONES'!$H$14:$H$104,3)+SUMIFS('GASTOS MAS INVERSIONES'!$N$14:$N$104,'GASTOS MAS INVERSIONES'!$B$14:$B$104,'Total Presupuesto'!A23,'GASTOS MAS INVERSIONES'!$H$14:$H$104,4)+SUMIFS('GASTOS MAS INVERSIONES'!$N$14:$N$104,'GASTOS MAS INVERSIONES'!$B$14:$B$104,'Total Presupuesto'!A23,'GASTOS MAS INVERSIONES'!$H$14:$H$104,6)</f>
        <v>0</v>
      </c>
      <c r="M23" s="398">
        <f t="shared" si="1"/>
        <v>0</v>
      </c>
      <c r="N23" s="396"/>
    </row>
    <row r="24" spans="1:14">
      <c r="A24" s="391">
        <v>10110101</v>
      </c>
      <c r="B24" s="589" t="s">
        <v>1108</v>
      </c>
      <c r="C24" s="589"/>
      <c r="D24" s="589"/>
      <c r="E24" s="589"/>
      <c r="F24" s="589"/>
      <c r="G24" s="396"/>
      <c r="H24" s="397">
        <f>+SUMIFS('GASTOS MAS INVERSIONES'!$N$14:$N$104,'GASTOS MAS INVERSIONES'!$B$14:$B$104,'Total Presupuesto'!A24,'GASTOS MAS INVERSIONES'!$H$14:$H$104,8)</f>
        <v>0</v>
      </c>
      <c r="I24" s="397">
        <f>+SUMIFS('GASTOS MAS INVERSIONES'!$N$14:$N$104,'GASTOS MAS INVERSIONES'!$B$14:$B$104,'Total Presupuesto'!A24,'GASTOS MAS INVERSIONES'!$H$14:$H$104,7)</f>
        <v>0</v>
      </c>
      <c r="J24" s="396"/>
      <c r="K24" s="398">
        <f t="shared" si="0"/>
        <v>0</v>
      </c>
      <c r="L24" s="397">
        <f>+SUMIFS('GASTOS MAS INVERSIONES'!$N$14:$N$104,'GASTOS MAS INVERSIONES'!$B$14:$B$104,'Total Presupuesto'!A24,'GASTOS MAS INVERSIONES'!$H$14:$H$104,3)+SUMIFS('GASTOS MAS INVERSIONES'!$N$14:$N$104,'GASTOS MAS INVERSIONES'!$B$14:$B$104,'Total Presupuesto'!A24,'GASTOS MAS INVERSIONES'!$H$14:$H$104,4)+SUMIFS('GASTOS MAS INVERSIONES'!$N$14:$N$104,'GASTOS MAS INVERSIONES'!$B$14:$B$104,'Total Presupuesto'!A24,'GASTOS MAS INVERSIONES'!$H$14:$H$104,6)</f>
        <v>0</v>
      </c>
      <c r="M24" s="398">
        <f t="shared" si="1"/>
        <v>0</v>
      </c>
      <c r="N24" s="396"/>
    </row>
    <row r="25" spans="1:14">
      <c r="A25" s="391">
        <v>10110102</v>
      </c>
      <c r="B25" s="589" t="s">
        <v>1109</v>
      </c>
      <c r="C25" s="589"/>
      <c r="D25" s="589"/>
      <c r="E25" s="589"/>
      <c r="F25" s="589"/>
      <c r="G25" s="396"/>
      <c r="H25" s="397">
        <f>+SUMIFS('GASTOS MAS INVERSIONES'!$N$14:$N$104,'GASTOS MAS INVERSIONES'!$B$14:$B$104,'Total Presupuesto'!A25,'GASTOS MAS INVERSIONES'!$H$14:$H$104,8)</f>
        <v>0</v>
      </c>
      <c r="I25" s="397">
        <f>+SUMIFS('GASTOS MAS INVERSIONES'!$N$14:$N$104,'GASTOS MAS INVERSIONES'!$B$14:$B$104,'Total Presupuesto'!A25,'GASTOS MAS INVERSIONES'!$H$14:$H$104,7)</f>
        <v>0</v>
      </c>
      <c r="J25" s="396"/>
      <c r="K25" s="398">
        <f t="shared" si="0"/>
        <v>0</v>
      </c>
      <c r="L25" s="397">
        <f>+SUMIFS('GASTOS MAS INVERSIONES'!$N$14:$N$104,'GASTOS MAS INVERSIONES'!$B$14:$B$104,'Total Presupuesto'!A25,'GASTOS MAS INVERSIONES'!$H$14:$H$104,3)+SUMIFS('GASTOS MAS INVERSIONES'!$N$14:$N$104,'GASTOS MAS INVERSIONES'!$B$14:$B$104,'Total Presupuesto'!A25,'GASTOS MAS INVERSIONES'!$H$14:$H$104,4)+SUMIFS('GASTOS MAS INVERSIONES'!$N$14:$N$104,'GASTOS MAS INVERSIONES'!$B$14:$B$104,'Total Presupuesto'!A25,'GASTOS MAS INVERSIONES'!$H$14:$H$104,6)</f>
        <v>0</v>
      </c>
      <c r="M25" s="398">
        <f t="shared" si="1"/>
        <v>0</v>
      </c>
      <c r="N25" s="396"/>
    </row>
    <row r="26" spans="1:14">
      <c r="A26" s="391">
        <v>10110103</v>
      </c>
      <c r="B26" s="589" t="s">
        <v>1110</v>
      </c>
      <c r="C26" s="589"/>
      <c r="D26" s="589"/>
      <c r="E26" s="589"/>
      <c r="F26" s="589"/>
      <c r="G26" s="396"/>
      <c r="H26" s="397">
        <f>+SUMIFS('GASTOS MAS INVERSIONES'!$N$14:$N$104,'GASTOS MAS INVERSIONES'!$B$14:$B$104,'Total Presupuesto'!A26,'GASTOS MAS INVERSIONES'!$H$14:$H$104,8)</f>
        <v>0</v>
      </c>
      <c r="I26" s="397">
        <f>+SUMIFS('GASTOS MAS INVERSIONES'!$N$14:$N$104,'GASTOS MAS INVERSIONES'!$B$14:$B$104,'Total Presupuesto'!A26,'GASTOS MAS INVERSIONES'!$H$14:$H$104,7)</f>
        <v>0</v>
      </c>
      <c r="J26" s="396"/>
      <c r="K26" s="398">
        <f t="shared" si="0"/>
        <v>0</v>
      </c>
      <c r="L26" s="397">
        <f>+SUMIFS('GASTOS MAS INVERSIONES'!$N$14:$N$104,'GASTOS MAS INVERSIONES'!$B$14:$B$104,'Total Presupuesto'!A26,'GASTOS MAS INVERSIONES'!$H$14:$H$104,3)+SUMIFS('GASTOS MAS INVERSIONES'!$N$14:$N$104,'GASTOS MAS INVERSIONES'!$B$14:$B$104,'Total Presupuesto'!A26,'GASTOS MAS INVERSIONES'!$H$14:$H$104,4)+SUMIFS('GASTOS MAS INVERSIONES'!$N$14:$N$104,'GASTOS MAS INVERSIONES'!$B$14:$B$104,'Total Presupuesto'!A26,'GASTOS MAS INVERSIONES'!$H$14:$H$104,6)</f>
        <v>0</v>
      </c>
      <c r="M26" s="398">
        <f t="shared" si="1"/>
        <v>0</v>
      </c>
      <c r="N26" s="396"/>
    </row>
    <row r="27" spans="1:14">
      <c r="A27" s="391">
        <v>10120101</v>
      </c>
      <c r="B27" s="589" t="s">
        <v>1111</v>
      </c>
      <c r="C27" s="589"/>
      <c r="D27" s="589"/>
      <c r="E27" s="589"/>
      <c r="F27" s="589"/>
      <c r="G27" s="396"/>
      <c r="H27" s="397">
        <f>+SUMIFS('GASTOS MAS INVERSIONES'!$N$14:$N$104,'GASTOS MAS INVERSIONES'!$B$14:$B$104,'Total Presupuesto'!A27,'GASTOS MAS INVERSIONES'!$H$14:$H$104,8)</f>
        <v>0</v>
      </c>
      <c r="I27" s="397">
        <f>+SUMIFS('GASTOS MAS INVERSIONES'!$N$14:$N$104,'GASTOS MAS INVERSIONES'!$B$14:$B$104,'Total Presupuesto'!A27,'GASTOS MAS INVERSIONES'!$H$14:$H$104,7)</f>
        <v>0</v>
      </c>
      <c r="J27" s="396"/>
      <c r="K27" s="398">
        <f t="shared" si="0"/>
        <v>0</v>
      </c>
      <c r="L27" s="397">
        <f>+SUMIFS('GASTOS MAS INVERSIONES'!$N$14:$N$104,'GASTOS MAS INVERSIONES'!$B$14:$B$104,'Total Presupuesto'!A27,'GASTOS MAS INVERSIONES'!$H$14:$H$104,3)+SUMIFS('GASTOS MAS INVERSIONES'!$N$14:$N$104,'GASTOS MAS INVERSIONES'!$B$14:$B$104,'Total Presupuesto'!A27,'GASTOS MAS INVERSIONES'!$H$14:$H$104,4)+SUMIFS('GASTOS MAS INVERSIONES'!$N$14:$N$104,'GASTOS MAS INVERSIONES'!$B$14:$B$104,'Total Presupuesto'!A27,'GASTOS MAS INVERSIONES'!$H$14:$H$104,6)</f>
        <v>0</v>
      </c>
      <c r="M27" s="398">
        <f t="shared" si="1"/>
        <v>0</v>
      </c>
      <c r="N27" s="396"/>
    </row>
    <row r="28" spans="1:14">
      <c r="A28" s="391">
        <v>10120102</v>
      </c>
      <c r="B28" s="589" t="s">
        <v>1112</v>
      </c>
      <c r="C28" s="589"/>
      <c r="D28" s="589"/>
      <c r="E28" s="589"/>
      <c r="F28" s="589"/>
      <c r="G28" s="396"/>
      <c r="H28" s="397">
        <f>+SUMIFS('GASTOS MAS INVERSIONES'!$N$14:$N$104,'GASTOS MAS INVERSIONES'!$B$14:$B$104,'Total Presupuesto'!A28,'GASTOS MAS INVERSIONES'!$H$14:$H$104,8)</f>
        <v>0</v>
      </c>
      <c r="I28" s="397">
        <f>+SUMIFS('GASTOS MAS INVERSIONES'!$N$14:$N$104,'GASTOS MAS INVERSIONES'!$B$14:$B$104,'Total Presupuesto'!A28,'GASTOS MAS INVERSIONES'!$H$14:$H$104,7)</f>
        <v>0</v>
      </c>
      <c r="J28" s="396"/>
      <c r="K28" s="398">
        <f t="shared" si="0"/>
        <v>0</v>
      </c>
      <c r="L28" s="397">
        <f>+SUMIFS('GASTOS MAS INVERSIONES'!$N$14:$N$104,'GASTOS MAS INVERSIONES'!$B$14:$B$104,'Total Presupuesto'!A28,'GASTOS MAS INVERSIONES'!$H$14:$H$104,3)+SUMIFS('GASTOS MAS INVERSIONES'!$N$14:$N$104,'GASTOS MAS INVERSIONES'!$B$14:$B$104,'Total Presupuesto'!A28,'GASTOS MAS INVERSIONES'!$H$14:$H$104,4)+SUMIFS('GASTOS MAS INVERSIONES'!$N$14:$N$104,'GASTOS MAS INVERSIONES'!$B$14:$B$104,'Total Presupuesto'!A28,'GASTOS MAS INVERSIONES'!$H$14:$H$104,6)</f>
        <v>0</v>
      </c>
      <c r="M28" s="398">
        <f t="shared" si="1"/>
        <v>0</v>
      </c>
      <c r="N28" s="396"/>
    </row>
    <row r="29" spans="1:14">
      <c r="A29" s="391">
        <v>10130101</v>
      </c>
      <c r="B29" s="589" t="s">
        <v>1113</v>
      </c>
      <c r="C29" s="589"/>
      <c r="D29" s="589"/>
      <c r="E29" s="589"/>
      <c r="F29" s="589"/>
      <c r="G29" s="396"/>
      <c r="H29" s="397">
        <f>+SUMIFS('GASTOS MAS INVERSIONES'!$N$14:$N$104,'GASTOS MAS INVERSIONES'!$B$14:$B$104,'Total Presupuesto'!A29,'GASTOS MAS INVERSIONES'!$H$14:$H$104,8)</f>
        <v>0</v>
      </c>
      <c r="I29" s="397">
        <f>+SUMIFS('GASTOS MAS INVERSIONES'!$N$14:$N$104,'GASTOS MAS INVERSIONES'!$B$14:$B$104,'Total Presupuesto'!A29,'GASTOS MAS INVERSIONES'!$H$14:$H$104,7)</f>
        <v>0</v>
      </c>
      <c r="J29" s="396"/>
      <c r="K29" s="398">
        <f t="shared" si="0"/>
        <v>0</v>
      </c>
      <c r="L29" s="397">
        <f>+SUMIFS('GASTOS MAS INVERSIONES'!$N$14:$N$104,'GASTOS MAS INVERSIONES'!$B$14:$B$104,'Total Presupuesto'!A29,'GASTOS MAS INVERSIONES'!$H$14:$H$104,3)+SUMIFS('GASTOS MAS INVERSIONES'!$N$14:$N$104,'GASTOS MAS INVERSIONES'!$B$14:$B$104,'Total Presupuesto'!A29,'GASTOS MAS INVERSIONES'!$H$14:$H$104,4)+SUMIFS('GASTOS MAS INVERSIONES'!$N$14:$N$104,'GASTOS MAS INVERSIONES'!$B$14:$B$104,'Total Presupuesto'!A29,'GASTOS MAS INVERSIONES'!$H$14:$H$104,6)</f>
        <v>0</v>
      </c>
      <c r="M29" s="398">
        <f t="shared" si="1"/>
        <v>0</v>
      </c>
      <c r="N29" s="396"/>
    </row>
    <row r="30" spans="1:14">
      <c r="A30" s="391">
        <v>10130102</v>
      </c>
      <c r="B30" s="589" t="s">
        <v>1114</v>
      </c>
      <c r="C30" s="589"/>
      <c r="D30" s="589"/>
      <c r="E30" s="589"/>
      <c r="F30" s="589"/>
      <c r="G30" s="396"/>
      <c r="H30" s="397">
        <f>+SUMIFS('GASTOS MAS INVERSIONES'!$N$14:$N$104,'GASTOS MAS INVERSIONES'!$B$14:$B$104,'Total Presupuesto'!A30,'GASTOS MAS INVERSIONES'!$H$14:$H$104,8)</f>
        <v>0</v>
      </c>
      <c r="I30" s="397">
        <f>+SUMIFS('GASTOS MAS INVERSIONES'!$N$14:$N$104,'GASTOS MAS INVERSIONES'!$B$14:$B$104,'Total Presupuesto'!A30,'GASTOS MAS INVERSIONES'!$H$14:$H$104,7)</f>
        <v>0</v>
      </c>
      <c r="J30" s="396"/>
      <c r="K30" s="398">
        <f t="shared" si="0"/>
        <v>0</v>
      </c>
      <c r="L30" s="397">
        <f>+SUMIFS('GASTOS MAS INVERSIONES'!$N$14:$N$104,'GASTOS MAS INVERSIONES'!$B$14:$B$104,'Total Presupuesto'!A30,'GASTOS MAS INVERSIONES'!$H$14:$H$104,3)+SUMIFS('GASTOS MAS INVERSIONES'!$N$14:$N$104,'GASTOS MAS INVERSIONES'!$B$14:$B$104,'Total Presupuesto'!A30,'GASTOS MAS INVERSIONES'!$H$14:$H$104,4)+SUMIFS('GASTOS MAS INVERSIONES'!$N$14:$N$104,'GASTOS MAS INVERSIONES'!$B$14:$B$104,'Total Presupuesto'!A30,'GASTOS MAS INVERSIONES'!$H$14:$H$104,9)</f>
        <v>1226000</v>
      </c>
      <c r="M30" s="398">
        <f t="shared" si="1"/>
        <v>1226000</v>
      </c>
      <c r="N30" s="396"/>
    </row>
    <row r="31" spans="1:14">
      <c r="A31" s="391">
        <v>10140101</v>
      </c>
      <c r="B31" s="589" t="s">
        <v>1115</v>
      </c>
      <c r="C31" s="589"/>
      <c r="D31" s="589"/>
      <c r="E31" s="589"/>
      <c r="F31" s="589"/>
      <c r="G31" s="396"/>
      <c r="H31" s="397">
        <f>+SUMIFS('GASTOS MAS INVERSIONES'!$N$14:$N$104,'GASTOS MAS INVERSIONES'!$B$14:$B$104,'Total Presupuesto'!A31,'GASTOS MAS INVERSIONES'!$H$14:$H$104,8)</f>
        <v>15117000</v>
      </c>
      <c r="I31" s="397">
        <f>+SUMIFS('GASTOS MAS INVERSIONES'!$N$14:$N$104,'GASTOS MAS INVERSIONES'!$B$14:$B$104,'Total Presupuesto'!A31,'GASTOS MAS INVERSIONES'!$H$14:$H$104,7)</f>
        <v>0</v>
      </c>
      <c r="J31" s="396"/>
      <c r="K31" s="398">
        <f t="shared" si="0"/>
        <v>15117000</v>
      </c>
      <c r="L31" s="397">
        <f>+SUMIFS('GASTOS MAS INVERSIONES'!$N$14:$N$104,'GASTOS MAS INVERSIONES'!$B$14:$B$104,'Total Presupuesto'!A31,'GASTOS MAS INVERSIONES'!$H$14:$H$104,3)+SUMIFS('GASTOS MAS INVERSIONES'!$N$14:$N$104,'GASTOS MAS INVERSIONES'!$B$14:$B$104,'Total Presupuesto'!A31,'GASTOS MAS INVERSIONES'!$H$14:$H$104,4)+SUMIFS('GASTOS MAS INVERSIONES'!$N$14:$N$104,'GASTOS MAS INVERSIONES'!$B$14:$B$104,'Total Presupuesto'!A31,'GASTOS MAS INVERSIONES'!$H$14:$H$104,6)</f>
        <v>0</v>
      </c>
      <c r="M31" s="398">
        <f t="shared" si="1"/>
        <v>15117000</v>
      </c>
      <c r="N31" s="396"/>
    </row>
    <row r="32" spans="1:14">
      <c r="A32" s="392" t="s">
        <v>147</v>
      </c>
      <c r="B32" s="589" t="s">
        <v>1116</v>
      </c>
      <c r="C32" s="589"/>
      <c r="D32" s="589"/>
      <c r="E32" s="589"/>
      <c r="F32" s="589"/>
      <c r="G32" s="396"/>
      <c r="H32" s="397">
        <f>+SUMIFS('GASTOS MAS INVERSIONES'!$N$14:$N$104,'GASTOS MAS INVERSIONES'!$B$14:$B$104,'Total Presupuesto'!A32,'GASTOS MAS INVERSIONES'!$H$14:$H$104,8)</f>
        <v>245542000</v>
      </c>
      <c r="I32" s="397">
        <f>+SUMIFS('GASTOS MAS INVERSIONES'!$N$14:$N$104,'GASTOS MAS INVERSIONES'!$B$14:$B$104,'Total Presupuesto'!A32,'GASTOS MAS INVERSIONES'!$H$14:$H$104,7)</f>
        <v>0</v>
      </c>
      <c r="J32" s="396"/>
      <c r="K32" s="398">
        <f t="shared" si="0"/>
        <v>245542000</v>
      </c>
      <c r="L32" s="397">
        <f>+SUMIFS('GASTOS MAS INVERSIONES'!$N$14:$N$104,'GASTOS MAS INVERSIONES'!$B$14:$B$104,'Total Presupuesto'!A32,'GASTOS MAS INVERSIONES'!$H$14:$H$104,3)+SUMIFS('GASTOS MAS INVERSIONES'!$N$14:$N$104,'GASTOS MAS INVERSIONES'!$B$14:$B$104,'Total Presupuesto'!A32,'GASTOS MAS INVERSIONES'!$H$14:$H$104,4)+SUMIFS('GASTOS MAS INVERSIONES'!$N$14:$N$104,'GASTOS MAS INVERSIONES'!$B$14:$B$104,'Total Presupuesto'!A32,'GASTOS MAS INVERSIONES'!$H$14:$H$104,6)</f>
        <v>0</v>
      </c>
      <c r="M32" s="398">
        <f t="shared" si="1"/>
        <v>245542000</v>
      </c>
      <c r="N32" s="396"/>
    </row>
    <row r="33" spans="1:14">
      <c r="A33" s="393" t="s">
        <v>148</v>
      </c>
      <c r="B33" s="589" t="s">
        <v>1117</v>
      </c>
      <c r="C33" s="589"/>
      <c r="D33" s="589"/>
      <c r="E33" s="589"/>
      <c r="F33" s="589"/>
      <c r="G33" s="396"/>
      <c r="H33" s="397">
        <f>+SUMIFS('GASTOS MAS INVERSIONES'!$N$14:$N$104,'GASTOS MAS INVERSIONES'!$B$14:$B$104,'Total Presupuesto'!A33,'GASTOS MAS INVERSIONES'!$H$14:$H$104,2)</f>
        <v>0</v>
      </c>
      <c r="I33" s="397">
        <f>+SUMIFS('GASTOS MAS INVERSIONES'!$N$14:$N$104,'GASTOS MAS INVERSIONES'!$B$14:$B$104,'Total Presupuesto'!A33,'GASTOS MAS INVERSIONES'!$H$14:$H$104,7)</f>
        <v>0</v>
      </c>
      <c r="J33" s="396"/>
      <c r="K33" s="398">
        <f t="shared" si="0"/>
        <v>0</v>
      </c>
      <c r="L33" s="397">
        <f>+SUMIFS('GASTOS MAS INVERSIONES'!$N$14:$N$104,'GASTOS MAS INVERSIONES'!$B$14:$B$104,'Total Presupuesto'!A33,'GASTOS MAS INVERSIONES'!$H$14:$H$104,3)+SUMIFS('GASTOS MAS INVERSIONES'!$N$14:$N$104,'GASTOS MAS INVERSIONES'!$B$14:$B$104,'Total Presupuesto'!A33,'GASTOS MAS INVERSIONES'!$H$14:$H$104,4)+SUMIFS('GASTOS MAS INVERSIONES'!$N$14:$N$104,'GASTOS MAS INVERSIONES'!$B$14:$B$104,'Total Presupuesto'!A33,'GASTOS MAS INVERSIONES'!$H$14:$H$104,6)</f>
        <v>0</v>
      </c>
      <c r="M33" s="398">
        <f t="shared" si="1"/>
        <v>0</v>
      </c>
      <c r="N33" s="396"/>
    </row>
    <row r="34" spans="1:14">
      <c r="A34" s="393" t="s">
        <v>162</v>
      </c>
      <c r="B34" s="589" t="s">
        <v>1118</v>
      </c>
      <c r="C34" s="589"/>
      <c r="D34" s="589"/>
      <c r="E34" s="589"/>
      <c r="F34" s="589"/>
      <c r="G34" s="431">
        <f>+INGRESOS!L29</f>
        <v>885849000</v>
      </c>
      <c r="H34" s="397"/>
      <c r="I34" s="396"/>
      <c r="J34" s="396"/>
      <c r="K34" s="396"/>
      <c r="L34" s="396"/>
      <c r="M34" s="396"/>
      <c r="N34" s="396"/>
    </row>
    <row r="35" spans="1:14">
      <c r="A35" s="393" t="s">
        <v>163</v>
      </c>
      <c r="B35" s="589" t="s">
        <v>1119</v>
      </c>
      <c r="C35" s="589"/>
      <c r="D35" s="589"/>
      <c r="E35" s="589"/>
      <c r="F35" s="589"/>
      <c r="G35" s="431">
        <f>+INGRESOS!F106</f>
        <v>57767000</v>
      </c>
      <c r="H35" s="397"/>
      <c r="I35" s="396"/>
      <c r="J35" s="396"/>
      <c r="K35" s="396"/>
      <c r="L35" s="396"/>
      <c r="M35" s="396"/>
      <c r="N35" s="396"/>
    </row>
    <row r="36" spans="1:14">
      <c r="A36" s="393" t="s">
        <v>1120</v>
      </c>
      <c r="B36" s="589" t="s">
        <v>1121</v>
      </c>
      <c r="C36" s="589"/>
      <c r="D36" s="589"/>
      <c r="E36" s="589"/>
      <c r="F36" s="589"/>
      <c r="G36" s="396"/>
      <c r="H36" s="397"/>
      <c r="I36" s="396"/>
      <c r="J36" s="396"/>
      <c r="K36" s="396"/>
      <c r="L36" s="396"/>
      <c r="M36" s="396"/>
      <c r="N36" s="396"/>
    </row>
    <row r="37" spans="1:14">
      <c r="A37" s="393" t="s">
        <v>1122</v>
      </c>
      <c r="B37" s="589" t="s">
        <v>1123</v>
      </c>
      <c r="C37" s="589"/>
      <c r="D37" s="589"/>
      <c r="E37" s="589"/>
      <c r="F37" s="589"/>
      <c r="G37" s="396"/>
      <c r="H37" s="397"/>
      <c r="I37" s="396"/>
      <c r="J37" s="396"/>
      <c r="K37" s="396"/>
      <c r="L37" s="396"/>
      <c r="M37" s="396"/>
      <c r="N37" s="396"/>
    </row>
    <row r="38" spans="1:14">
      <c r="A38" s="393" t="s">
        <v>1124</v>
      </c>
      <c r="B38" s="589" t="s">
        <v>1125</v>
      </c>
      <c r="C38" s="589"/>
      <c r="D38" s="589"/>
      <c r="E38" s="589"/>
      <c r="F38" s="589"/>
      <c r="G38" s="431">
        <f>-INGRESOS!L81</f>
        <v>-82491500</v>
      </c>
      <c r="H38" s="397"/>
      <c r="I38" s="396"/>
      <c r="J38" s="396"/>
      <c r="K38" s="396"/>
      <c r="L38" s="396"/>
      <c r="M38" s="396"/>
      <c r="N38" s="396"/>
    </row>
    <row r="39" spans="1:14">
      <c r="A39" s="393" t="s">
        <v>1126</v>
      </c>
      <c r="B39" s="589" t="s">
        <v>1127</v>
      </c>
      <c r="C39" s="589"/>
      <c r="D39" s="589"/>
      <c r="E39" s="589"/>
      <c r="F39" s="589"/>
      <c r="G39" s="396"/>
      <c r="H39" s="397"/>
      <c r="I39" s="396"/>
      <c r="J39" s="396"/>
      <c r="K39" s="396"/>
      <c r="L39" s="396"/>
      <c r="M39" s="396"/>
      <c r="N39" s="396"/>
    </row>
    <row r="41" spans="1:14">
      <c r="A41" s="593" t="s">
        <v>1128</v>
      </c>
      <c r="B41" s="593"/>
      <c r="C41" s="593"/>
      <c r="D41" s="593"/>
      <c r="E41" s="593"/>
      <c r="F41" s="593"/>
      <c r="G41" s="397">
        <f>+SUM(G4:G39)</f>
        <v>861124500</v>
      </c>
      <c r="H41" s="397">
        <f t="shared" ref="H41:M41" si="2">+SUM(H4:H39)</f>
        <v>322713000</v>
      </c>
      <c r="I41" s="397">
        <f t="shared" si="2"/>
        <v>0</v>
      </c>
      <c r="J41" s="397">
        <f t="shared" si="2"/>
        <v>0</v>
      </c>
      <c r="K41" s="397">
        <f t="shared" si="2"/>
        <v>322713000</v>
      </c>
      <c r="L41" s="397">
        <f t="shared" si="2"/>
        <v>1226000</v>
      </c>
      <c r="M41" s="397">
        <f t="shared" si="2"/>
        <v>323939000</v>
      </c>
      <c r="N41" s="396"/>
    </row>
    <row r="43" spans="1:14" ht="30">
      <c r="F43" s="399"/>
      <c r="G43" s="399"/>
      <c r="H43" s="400" t="s">
        <v>1129</v>
      </c>
      <c r="I43" s="401"/>
      <c r="J43" s="401"/>
      <c r="K43" s="401"/>
      <c r="L43" s="400" t="s">
        <v>1130</v>
      </c>
    </row>
    <row r="44" spans="1:14">
      <c r="A44" t="s">
        <v>622</v>
      </c>
      <c r="E44" s="402">
        <v>0.14000000000000001</v>
      </c>
      <c r="F44" s="399">
        <f>+$G$41*E44</f>
        <v>120557430.00000001</v>
      </c>
      <c r="G44" s="399"/>
      <c r="H44" s="403">
        <f>+F44+F45</f>
        <v>137779920</v>
      </c>
      <c r="J44" s="399"/>
      <c r="K44" s="399"/>
      <c r="L44" s="403">
        <f>+H44-L41</f>
        <v>136553920</v>
      </c>
    </row>
    <row r="45" spans="1:14">
      <c r="A45" t="s">
        <v>1131</v>
      </c>
      <c r="E45" s="402">
        <v>0.02</v>
      </c>
      <c r="F45" s="399">
        <f t="shared" ref="F45:F49" si="3">+$G$41*E45</f>
        <v>17222490</v>
      </c>
      <c r="G45" s="404">
        <f>+M14+M15</f>
        <v>2413000</v>
      </c>
      <c r="H45" s="399"/>
      <c r="I45" s="399"/>
      <c r="J45" s="399"/>
      <c r="K45" s="399"/>
      <c r="L45" s="399"/>
    </row>
    <row r="46" spans="1:14">
      <c r="A46" t="s">
        <v>1132</v>
      </c>
      <c r="E46" s="402">
        <v>0.1</v>
      </c>
      <c r="F46" s="399">
        <f t="shared" si="3"/>
        <v>86112450</v>
      </c>
      <c r="G46" s="399"/>
      <c r="H46" s="399"/>
      <c r="I46" s="399"/>
      <c r="J46" s="399"/>
      <c r="K46" s="399"/>
      <c r="L46" s="399"/>
    </row>
    <row r="47" spans="1:14">
      <c r="A47" t="s">
        <v>1133</v>
      </c>
      <c r="E47" s="402">
        <v>0.62</v>
      </c>
      <c r="F47" s="399">
        <f t="shared" si="3"/>
        <v>533897190</v>
      </c>
      <c r="G47" s="399"/>
      <c r="H47" s="399"/>
      <c r="I47" s="399"/>
      <c r="J47" s="399"/>
      <c r="K47" s="399"/>
      <c r="L47" s="399"/>
    </row>
    <row r="48" spans="1:14">
      <c r="A48" t="s">
        <v>1134</v>
      </c>
      <c r="E48" s="402">
        <v>0.02</v>
      </c>
      <c r="F48" s="399">
        <f t="shared" si="3"/>
        <v>17222490</v>
      </c>
      <c r="G48" s="399"/>
      <c r="H48" s="399"/>
      <c r="I48" s="399"/>
      <c r="J48" s="399"/>
      <c r="K48" s="399"/>
      <c r="L48" s="399"/>
    </row>
    <row r="49" spans="1:12">
      <c r="A49" t="s">
        <v>1135</v>
      </c>
      <c r="E49" s="402">
        <v>0.1</v>
      </c>
      <c r="F49" s="399">
        <f t="shared" si="3"/>
        <v>86112450</v>
      </c>
      <c r="G49" s="399"/>
      <c r="H49" s="399"/>
      <c r="I49" s="399"/>
      <c r="J49" s="399"/>
      <c r="K49" s="399"/>
      <c r="L49" s="399"/>
    </row>
    <row r="50" spans="1:12">
      <c r="E50" s="402">
        <f>SUM(E44:E49)</f>
        <v>1</v>
      </c>
      <c r="F50" s="399"/>
      <c r="G50" s="399"/>
      <c r="H50" s="399"/>
      <c r="I50" s="399"/>
      <c r="J50" s="399"/>
      <c r="K50" s="399"/>
      <c r="L50" s="399"/>
    </row>
  </sheetData>
  <mergeCells count="38">
    <mergeCell ref="B39:F39"/>
    <mergeCell ref="A41:F41"/>
    <mergeCell ref="B33:F33"/>
    <mergeCell ref="B34:F34"/>
    <mergeCell ref="B35:F35"/>
    <mergeCell ref="B36:F36"/>
    <mergeCell ref="B37:F37"/>
    <mergeCell ref="B38:F38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3368C-DA89-4B97-890F-CBFCBAEBF6F8}">
  <dimension ref="A1:N64"/>
  <sheetViews>
    <sheetView showGridLines="0" zoomScale="90" zoomScaleNormal="90" workbookViewId="0">
      <selection activeCell="B7" sqref="B7:C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5" t="s">
        <v>1136</v>
      </c>
      <c r="B1" s="595"/>
      <c r="C1" s="595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6">
        <v>6.5000000000000002E-2</v>
      </c>
      <c r="C2" s="596"/>
      <c r="D2" t="s">
        <v>1139</v>
      </c>
      <c r="H2" t="str">
        <f>+INGRESOS!A10</f>
        <v>Esp. en Alta Gerencia</v>
      </c>
      <c r="L2" t="s">
        <v>1140</v>
      </c>
      <c r="M2" s="416">
        <v>44177</v>
      </c>
    </row>
    <row r="3" spans="1:13">
      <c r="A3" t="s">
        <v>1141</v>
      </c>
      <c r="B3" s="594">
        <f>MROUND((93500*1.05),100)</f>
        <v>98200</v>
      </c>
      <c r="C3" s="594"/>
      <c r="D3" t="s">
        <v>1142</v>
      </c>
      <c r="H3" s="426">
        <v>43905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4">
        <f>MROUND(1000000*1.05,1000)</f>
        <v>1050000</v>
      </c>
      <c r="C4" s="594"/>
      <c r="D4" t="s">
        <v>1146</v>
      </c>
      <c r="H4" t="str">
        <f>+TOTAL!C9</f>
        <v>FACULTAD DE INGENIERIA</v>
      </c>
      <c r="L4" t="s">
        <v>1147</v>
      </c>
      <c r="M4" s="417">
        <f>+MONTH(H3)-1</f>
        <v>2</v>
      </c>
    </row>
    <row r="5" spans="1:13">
      <c r="A5" t="s">
        <v>1148</v>
      </c>
      <c r="B5" s="594">
        <v>350000</v>
      </c>
      <c r="C5" s="594"/>
      <c r="D5" t="s">
        <v>1149</v>
      </c>
      <c r="H5" s="425">
        <v>480</v>
      </c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4">
        <v>260000</v>
      </c>
      <c r="C6" s="594"/>
      <c r="D6" t="s">
        <v>1269</v>
      </c>
      <c r="H6" s="425">
        <f>12*32</f>
        <v>384</v>
      </c>
      <c r="I6" t="s">
        <v>1150</v>
      </c>
      <c r="L6" t="s">
        <v>1153</v>
      </c>
      <c r="M6" s="417">
        <f>+M5-M4</f>
        <v>10</v>
      </c>
    </row>
    <row r="7" spans="1:13">
      <c r="A7" t="s">
        <v>1154</v>
      </c>
      <c r="B7" s="594">
        <v>109000</v>
      </c>
      <c r="C7" s="594"/>
      <c r="D7" t="s">
        <v>1270</v>
      </c>
      <c r="H7" s="425">
        <f>11*3</f>
        <v>33</v>
      </c>
    </row>
    <row r="8" spans="1:13">
      <c r="D8" t="s">
        <v>1155</v>
      </c>
      <c r="H8" s="425">
        <v>18</v>
      </c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10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05020102</v>
      </c>
      <c r="H16" s="415" t="str">
        <f>+$H$2</f>
        <v>Esp. en Alta Gerencia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2808000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05020102</v>
      </c>
      <c r="H17" s="415" t="str">
        <f t="shared" ref="H17:H29" si="0">+$H$2</f>
        <v>Esp. en Alta Gerencia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199590000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05020102</v>
      </c>
      <c r="H18" s="415" t="str">
        <f t="shared" si="0"/>
        <v>Esp. en Alta Gerencia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05020102</v>
      </c>
      <c r="H19" s="415" t="str">
        <f t="shared" si="0"/>
        <v>Esp. en Alta Gerencia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05020102</v>
      </c>
      <c r="H20" s="415" t="str">
        <f t="shared" si="0"/>
        <v>Esp. en Alta Gerencia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05020102</v>
      </c>
      <c r="H21" s="415" t="str">
        <f t="shared" si="0"/>
        <v>Esp. en Alta Gerencia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05020102</v>
      </c>
      <c r="H22" s="415" t="str">
        <f t="shared" si="0"/>
        <v>Esp. en Alta Gerencia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05020102</v>
      </c>
      <c r="H23" s="415" t="str">
        <f t="shared" si="0"/>
        <v>Esp. en Alta Gerencia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05020102</v>
      </c>
      <c r="H24" s="415" t="str">
        <f t="shared" si="0"/>
        <v>Esp. en Alta Gerencia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05020102</v>
      </c>
      <c r="H25" s="415" t="str">
        <f t="shared" si="0"/>
        <v>Esp. en Alta Gerencia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05020102</v>
      </c>
      <c r="H26" s="415" t="str">
        <f t="shared" si="0"/>
        <v>Esp. en Alta Gerencia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05020102</v>
      </c>
      <c r="H27" s="415" t="str">
        <f t="shared" si="0"/>
        <v>Esp. en Alta Gerencia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05020102</v>
      </c>
      <c r="H28" s="415" t="str">
        <f t="shared" si="0"/>
        <v>Esp. en Alta Gerencia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200000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05020102</v>
      </c>
      <c r="H29" s="415" t="str">
        <f t="shared" si="0"/>
        <v>Esp. en Alta Gerencia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599000</v>
      </c>
      <c r="N29" s="423">
        <f>+SUM(M16:M29)</f>
        <v>203197000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05020102</v>
      </c>
      <c r="H32" s="419" t="str">
        <f>+$H$29</f>
        <v>Esp. en Alta Gerencia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10500000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05020102</v>
      </c>
      <c r="H33" s="419" t="str">
        <f t="shared" ref="H33:H62" si="3">+$H$29</f>
        <v>Esp. en Alta Gerencia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MROUND($H$6*$B$3*65%,1000)</f>
        <v>24511000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05020102</v>
      </c>
      <c r="H34" s="419" t="str">
        <f t="shared" si="3"/>
        <v>Esp. en Alta Gerencia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MROUND($H$6*$B$3*18%,1000)</f>
        <v>6788000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05020102</v>
      </c>
      <c r="H35" s="419" t="str">
        <f t="shared" si="3"/>
        <v>Esp. en Alta Gerencia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MROUND($H$6*$B$3*10%,1000)</f>
        <v>3771000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05020102</v>
      </c>
      <c r="H36" s="419" t="str">
        <f t="shared" si="3"/>
        <v>Esp. en Alta Gerencia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MROUND($H$6*$B$3*4%,1000)</f>
        <v>1508000</v>
      </c>
      <c r="N36" t="s">
        <v>1276</v>
      </c>
    </row>
    <row r="37" spans="1:14">
      <c r="G37" t="str">
        <f t="shared" si="2"/>
        <v>05020102</v>
      </c>
      <c r="H37" s="419" t="str">
        <f t="shared" si="3"/>
        <v>Esp. en Alta Gerencia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05020102</v>
      </c>
      <c r="H38" s="419" t="str">
        <f t="shared" si="3"/>
        <v>Esp. en Alta Gerencia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1885000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05020102</v>
      </c>
      <c r="H39" s="419" t="str">
        <f t="shared" si="3"/>
        <v>Esp. en Alta Gerencia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05020102</v>
      </c>
      <c r="H40" s="419" t="str">
        <f t="shared" si="3"/>
        <v>Esp. en Alta Gerencia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+MROUND((H8*3000*3/12*M6),1000)</f>
        <v>135000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05020102</v>
      </c>
      <c r="H41" s="419" t="str">
        <f t="shared" si="3"/>
        <v>Esp. en Alta Gerencia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+MROUND((B7+(B6*1))*H7*50%,1000)</f>
        <v>6089000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05020102</v>
      </c>
      <c r="H42" s="419" t="str">
        <f t="shared" si="3"/>
        <v>Esp. en Alta Gerencia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6930000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05020102</v>
      </c>
      <c r="H43" s="419" t="str">
        <f t="shared" si="3"/>
        <v>Esp. en Alta Gerencia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+MROUND($H$7*$B$5*3%,1000)</f>
        <v>347000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05020102</v>
      </c>
      <c r="H44" s="419" t="str">
        <f t="shared" si="3"/>
        <v>Esp. en Alta Gerencia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3393000</v>
      </c>
    </row>
    <row r="45" spans="1:14">
      <c r="G45" t="str">
        <f t="shared" si="2"/>
        <v>05020102</v>
      </c>
      <c r="H45" s="419" t="str">
        <f t="shared" si="3"/>
        <v>Esp. en Alta Gerencia</v>
      </c>
      <c r="M45" s="394"/>
    </row>
    <row r="46" spans="1:14">
      <c r="G46" t="str">
        <f t="shared" si="2"/>
        <v>05020102</v>
      </c>
      <c r="H46" s="419" t="str">
        <f t="shared" si="3"/>
        <v>Esp. en Alta Gerencia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05020102</v>
      </c>
      <c r="H47" s="419" t="str">
        <f t="shared" si="3"/>
        <v>Esp. en Alta Gerencia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05020102</v>
      </c>
      <c r="H48" s="419" t="str">
        <f t="shared" si="3"/>
        <v>Esp. en Alta Gerencia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05020102</v>
      </c>
      <c r="H49" s="419" t="str">
        <f t="shared" si="3"/>
        <v>Esp. en Alta Gerencia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05020102</v>
      </c>
      <c r="H50" s="419" t="str">
        <f t="shared" si="3"/>
        <v>Esp. en Alta Gerencia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05020102</v>
      </c>
      <c r="H51" s="419" t="str">
        <f t="shared" si="3"/>
        <v>Esp. en Alta Gerencia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05020102</v>
      </c>
      <c r="H52" s="419" t="str">
        <f t="shared" si="3"/>
        <v>Esp. en Alta Gerencia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05020102</v>
      </c>
      <c r="H53" s="419" t="str">
        <f t="shared" si="3"/>
        <v>Esp. en Alta Gerencia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05020102</v>
      </c>
      <c r="H54" s="419" t="str">
        <f t="shared" si="3"/>
        <v>Esp. en Alta Gerencia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05020102</v>
      </c>
      <c r="H55" s="419" t="str">
        <f t="shared" si="3"/>
        <v>Esp. en Alta Gerencia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05020102</v>
      </c>
      <c r="H56" s="419" t="str">
        <f t="shared" si="3"/>
        <v>Esp. en Alta Gerencia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05020102</v>
      </c>
      <c r="H57" s="419" t="str">
        <f t="shared" si="3"/>
        <v>Esp. en Alta Gerencia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05020102</v>
      </c>
      <c r="H58" s="419" t="str">
        <f t="shared" si="3"/>
        <v>Esp. en Alta Gerencia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05020102</v>
      </c>
      <c r="H59" s="419" t="str">
        <f t="shared" si="3"/>
        <v>Esp. en Alta Gerencia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756000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05020102</v>
      </c>
      <c r="H60" s="419" t="str">
        <f t="shared" si="3"/>
        <v>Esp. en Alta Gerencia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6072000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05020102</v>
      </c>
      <c r="H61" s="419" t="str">
        <f t="shared" si="3"/>
        <v>Esp. en Alta Gerencia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05020102</v>
      </c>
      <c r="H62" s="419" t="str">
        <f t="shared" si="3"/>
        <v>Esp. en Alta Gerencia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72685000</v>
      </c>
    </row>
    <row r="64" spans="1:14">
      <c r="N64" s="424">
        <f>+N29-N62</f>
        <v>130512000</v>
      </c>
    </row>
  </sheetData>
  <mergeCells count="7">
    <mergeCell ref="B6:C6"/>
    <mergeCell ref="B7:C7"/>
    <mergeCell ref="A1:C1"/>
    <mergeCell ref="B2:C2"/>
    <mergeCell ref="B3:C3"/>
    <mergeCell ref="B4:C4"/>
    <mergeCell ref="B5:C5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01EA3-248C-4575-87C6-59B0930404D5}">
  <dimension ref="A1:N64"/>
  <sheetViews>
    <sheetView showGridLines="0" zoomScale="90" zoomScaleNormal="90" workbookViewId="0">
      <selection activeCell="B7" sqref="B7:C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5" t="s">
        <v>1136</v>
      </c>
      <c r="B1" s="595"/>
      <c r="C1" s="595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6">
        <v>6.5000000000000002E-2</v>
      </c>
      <c r="C2" s="596"/>
      <c r="D2" t="s">
        <v>1139</v>
      </c>
      <c r="H2" t="str">
        <f>+INGRESOS!A10</f>
        <v>Esp. en Alta Gerencia</v>
      </c>
      <c r="L2" t="s">
        <v>1140</v>
      </c>
      <c r="M2" s="416">
        <v>44177</v>
      </c>
    </row>
    <row r="3" spans="1:13">
      <c r="A3" t="s">
        <v>1141</v>
      </c>
      <c r="B3" s="594">
        <f>MROUND((93500*1.05),100)</f>
        <v>98200</v>
      </c>
      <c r="C3" s="594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4">
        <f>MROUND(1000000*1.05,1000)</f>
        <v>1050000</v>
      </c>
      <c r="C4" s="594"/>
      <c r="D4" t="s">
        <v>1146</v>
      </c>
      <c r="H4" t="str">
        <f>+TOTAL!C9</f>
        <v>FACULTAD DE INGENIERIA</v>
      </c>
      <c r="L4" t="s">
        <v>1147</v>
      </c>
      <c r="M4" s="417">
        <f>+MONTH(H3)-1</f>
        <v>1</v>
      </c>
    </row>
    <row r="5" spans="1:13">
      <c r="A5" t="s">
        <v>1148</v>
      </c>
      <c r="B5" s="594">
        <v>350000</v>
      </c>
      <c r="C5" s="594"/>
      <c r="D5" t="s">
        <v>1149</v>
      </c>
      <c r="H5" s="425">
        <v>480</v>
      </c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4">
        <v>260000</v>
      </c>
      <c r="C6" s="594"/>
      <c r="D6" t="s">
        <v>1269</v>
      </c>
      <c r="H6" s="425">
        <f>10*32</f>
        <v>320</v>
      </c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4">
        <v>109000</v>
      </c>
      <c r="C7" s="594"/>
      <c r="D7" t="s">
        <v>1270</v>
      </c>
      <c r="H7" s="425">
        <f>9*3</f>
        <v>27</v>
      </c>
    </row>
    <row r="8" spans="1:13">
      <c r="D8" t="s">
        <v>1155</v>
      </c>
      <c r="H8" s="425">
        <v>18</v>
      </c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05020102</v>
      </c>
      <c r="H16" s="415" t="str">
        <f>+$H$2</f>
        <v>Esp. en Alta Gerencia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2808000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05020102</v>
      </c>
      <c r="H17" s="415" t="str">
        <f t="shared" ref="H17:H29" si="0">+$H$2</f>
        <v>Esp. en Alta Gerencia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219549000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05020102</v>
      </c>
      <c r="H18" s="415" t="str">
        <f t="shared" si="0"/>
        <v>Esp. en Alta Gerencia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05020102</v>
      </c>
      <c r="H19" s="415" t="str">
        <f t="shared" si="0"/>
        <v>Esp. en Alta Gerencia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05020102</v>
      </c>
      <c r="H20" s="415" t="str">
        <f t="shared" si="0"/>
        <v>Esp. en Alta Gerencia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05020102</v>
      </c>
      <c r="H21" s="415" t="str">
        <f t="shared" si="0"/>
        <v>Esp. en Alta Gerencia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05020102</v>
      </c>
      <c r="H22" s="415" t="str">
        <f t="shared" si="0"/>
        <v>Esp. en Alta Gerencia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05020102</v>
      </c>
      <c r="H23" s="415" t="str">
        <f t="shared" si="0"/>
        <v>Esp. en Alta Gerencia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05020102</v>
      </c>
      <c r="H24" s="415" t="str">
        <f t="shared" si="0"/>
        <v>Esp. en Alta Gerencia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05020102</v>
      </c>
      <c r="H25" s="415" t="str">
        <f t="shared" si="0"/>
        <v>Esp. en Alta Gerencia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05020102</v>
      </c>
      <c r="H26" s="415" t="str">
        <f t="shared" si="0"/>
        <v>Esp. en Alta Gerencia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05020102</v>
      </c>
      <c r="H27" s="415" t="str">
        <f t="shared" si="0"/>
        <v>Esp. en Alta Gerencia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05020102</v>
      </c>
      <c r="H28" s="415" t="str">
        <f t="shared" si="0"/>
        <v>Esp. en Alta Gerencia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220000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05020102</v>
      </c>
      <c r="H29" s="415" t="str">
        <f t="shared" si="0"/>
        <v>Esp. en Alta Gerencia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659000</v>
      </c>
      <c r="N29" s="423">
        <f>+SUM(M16:M29)</f>
        <v>223236000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05020102</v>
      </c>
      <c r="H32" s="419" t="str">
        <f>+$H$29</f>
        <v>Esp. en Alta Gerencia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11550000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05020102</v>
      </c>
      <c r="H33" s="419" t="str">
        <f t="shared" ref="H33:H62" si="3">+$H$29</f>
        <v>Esp. en Alta Gerencia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MROUND($H$6*$B$3*65%,1000)</f>
        <v>20426000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05020102</v>
      </c>
      <c r="H34" s="419" t="str">
        <f t="shared" si="3"/>
        <v>Esp. en Alta Gerencia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MROUND($H$6*$B$3*18%,1000)</f>
        <v>5656000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05020102</v>
      </c>
      <c r="H35" s="419" t="str">
        <f t="shared" si="3"/>
        <v>Esp. en Alta Gerencia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MROUND($H$6*$B$3*10%,1000)</f>
        <v>3142000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05020102</v>
      </c>
      <c r="H36" s="419" t="str">
        <f t="shared" si="3"/>
        <v>Esp. en Alta Gerencia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MROUND($H$6*$B$3*4%,1000)</f>
        <v>1257000</v>
      </c>
      <c r="N36" t="s">
        <v>1276</v>
      </c>
    </row>
    <row r="37" spans="1:14">
      <c r="G37" t="str">
        <f t="shared" si="2"/>
        <v>05020102</v>
      </c>
      <c r="H37" s="419" t="str">
        <f t="shared" si="3"/>
        <v>Esp. en Alta Gerencia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05020102</v>
      </c>
      <c r="H38" s="419" t="str">
        <f t="shared" si="3"/>
        <v>Esp. en Alta Gerencia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1571000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05020102</v>
      </c>
      <c r="H39" s="419" t="str">
        <f t="shared" si="3"/>
        <v>Esp. en Alta Gerencia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05020102</v>
      </c>
      <c r="H40" s="419" t="str">
        <f t="shared" si="3"/>
        <v>Esp. en Alta Gerencia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+MROUND((H8*3000*3/12*M6),1000)</f>
        <v>149000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05020102</v>
      </c>
      <c r="H41" s="419" t="str">
        <f t="shared" si="3"/>
        <v>Esp. en Alta Gerencia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+MROUND((B7+(B6*1))*H7*50%,1000)</f>
        <v>4982000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05020102</v>
      </c>
      <c r="H42" s="419" t="str">
        <f t="shared" si="3"/>
        <v>Esp. en Alta Gerencia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5670000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05020102</v>
      </c>
      <c r="H43" s="419" t="str">
        <f t="shared" si="3"/>
        <v>Esp. en Alta Gerencia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+MROUND($H$7*$B$5*3%,1000)</f>
        <v>284000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05020102</v>
      </c>
      <c r="H44" s="419" t="str">
        <f t="shared" si="3"/>
        <v>Esp. en Alta Gerencia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3732000</v>
      </c>
    </row>
    <row r="45" spans="1:14">
      <c r="G45" t="str">
        <f t="shared" si="2"/>
        <v>05020102</v>
      </c>
      <c r="H45" s="419" t="str">
        <f t="shared" si="3"/>
        <v>Esp. en Alta Gerencia</v>
      </c>
      <c r="M45" s="394"/>
    </row>
    <row r="46" spans="1:14">
      <c r="G46" t="str">
        <f t="shared" si="2"/>
        <v>05020102</v>
      </c>
      <c r="H46" s="419" t="str">
        <f t="shared" si="3"/>
        <v>Esp. en Alta Gerencia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05020102</v>
      </c>
      <c r="H47" s="419" t="str">
        <f t="shared" si="3"/>
        <v>Esp. en Alta Gerencia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05020102</v>
      </c>
      <c r="H48" s="419" t="str">
        <f t="shared" si="3"/>
        <v>Esp. en Alta Gerencia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05020102</v>
      </c>
      <c r="H49" s="419" t="str">
        <f t="shared" si="3"/>
        <v>Esp. en Alta Gerencia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05020102</v>
      </c>
      <c r="H50" s="419" t="str">
        <f t="shared" si="3"/>
        <v>Esp. en Alta Gerencia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05020102</v>
      </c>
      <c r="H51" s="419" t="str">
        <f t="shared" si="3"/>
        <v>Esp. en Alta Gerencia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05020102</v>
      </c>
      <c r="H52" s="419" t="str">
        <f t="shared" si="3"/>
        <v>Esp. en Alta Gerencia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05020102</v>
      </c>
      <c r="H53" s="419" t="str">
        <f t="shared" si="3"/>
        <v>Esp. en Alta Gerencia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05020102</v>
      </c>
      <c r="H54" s="419" t="str">
        <f t="shared" si="3"/>
        <v>Esp. en Alta Gerencia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05020102</v>
      </c>
      <c r="H55" s="419" t="str">
        <f t="shared" si="3"/>
        <v>Esp. en Alta Gerencia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05020102</v>
      </c>
      <c r="H56" s="419" t="str">
        <f t="shared" si="3"/>
        <v>Esp. en Alta Gerencia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05020102</v>
      </c>
      <c r="H57" s="419" t="str">
        <f t="shared" si="3"/>
        <v>Esp. en Alta Gerencia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05020102</v>
      </c>
      <c r="H58" s="419" t="str">
        <f t="shared" si="3"/>
        <v>Esp. en Alta Gerencia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05020102</v>
      </c>
      <c r="H59" s="419" t="str">
        <f t="shared" si="3"/>
        <v>Esp. en Alta Gerencia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831000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05020102</v>
      </c>
      <c r="H60" s="419" t="str">
        <f t="shared" si="3"/>
        <v>Esp. en Alta Gerencia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6671000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05020102</v>
      </c>
      <c r="H61" s="419" t="str">
        <f t="shared" si="3"/>
        <v>Esp. en Alta Gerencia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05020102</v>
      </c>
      <c r="H62" s="419" t="str">
        <f t="shared" si="3"/>
        <v>Esp. en Alta Gerencia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65921000</v>
      </c>
    </row>
    <row r="64" spans="1:14">
      <c r="N64" s="424">
        <f>+N29-N62</f>
        <v>157315000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CF0C6-24BB-4445-9170-C1357162ACCC}">
  <dimension ref="A1:N64"/>
  <sheetViews>
    <sheetView showGridLines="0" zoomScale="90" zoomScaleNormal="90" workbookViewId="0">
      <selection activeCell="B7" sqref="B7:C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5" t="s">
        <v>1136</v>
      </c>
      <c r="B1" s="595"/>
      <c r="C1" s="595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6">
        <v>6.5000000000000002E-2</v>
      </c>
      <c r="C2" s="596"/>
      <c r="D2" t="s">
        <v>1139</v>
      </c>
      <c r="H2" t="str">
        <f>+INGRESOS!A10</f>
        <v>Esp. en Alta Gerencia</v>
      </c>
      <c r="L2" t="s">
        <v>1140</v>
      </c>
      <c r="M2" s="416">
        <v>44177</v>
      </c>
    </row>
    <row r="3" spans="1:13">
      <c r="A3" t="s">
        <v>1141</v>
      </c>
      <c r="B3" s="594">
        <f>MROUND((93500*1.05),100)</f>
        <v>98200</v>
      </c>
      <c r="C3" s="594"/>
      <c r="D3" t="s">
        <v>1142</v>
      </c>
      <c r="H3" s="426">
        <v>44058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4">
        <f>MROUND(1000000*1.05,1000)</f>
        <v>1050000</v>
      </c>
      <c r="C4" s="594"/>
      <c r="D4" t="s">
        <v>1146</v>
      </c>
      <c r="H4" t="str">
        <f>+TOTAL!C9</f>
        <v>FACULTAD DE INGENIERIA</v>
      </c>
      <c r="L4" t="s">
        <v>1147</v>
      </c>
      <c r="M4" s="417">
        <f>+MONTH(H3)-1</f>
        <v>7</v>
      </c>
    </row>
    <row r="5" spans="1:13">
      <c r="A5" t="s">
        <v>1148</v>
      </c>
      <c r="B5" s="594">
        <v>350000</v>
      </c>
      <c r="C5" s="594"/>
      <c r="D5" t="s">
        <v>1149</v>
      </c>
      <c r="H5" s="425">
        <v>480</v>
      </c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4">
        <v>260000</v>
      </c>
      <c r="C6" s="594"/>
      <c r="D6" t="s">
        <v>1269</v>
      </c>
      <c r="H6" s="425">
        <f>7*32</f>
        <v>224</v>
      </c>
      <c r="I6" t="s">
        <v>1150</v>
      </c>
      <c r="L6" t="s">
        <v>1153</v>
      </c>
      <c r="M6" s="417">
        <f>+M5-M4</f>
        <v>5</v>
      </c>
    </row>
    <row r="7" spans="1:13">
      <c r="A7" t="s">
        <v>1154</v>
      </c>
      <c r="B7" s="594">
        <v>109000</v>
      </c>
      <c r="C7" s="594"/>
      <c r="D7" t="s">
        <v>1270</v>
      </c>
      <c r="H7" s="425">
        <f>3*5</f>
        <v>15</v>
      </c>
    </row>
    <row r="8" spans="1:13">
      <c r="D8" t="s">
        <v>1155</v>
      </c>
      <c r="H8" s="425">
        <v>18</v>
      </c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05020102</v>
      </c>
      <c r="H16" s="415" t="str">
        <f>+$H$2</f>
        <v>Esp. en Alta Gerencia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2808000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05020102</v>
      </c>
      <c r="H17" s="415" t="str">
        <f t="shared" ref="H17:H29" si="0">+$H$2</f>
        <v>Esp. en Alta Gerencia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99795000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05020102</v>
      </c>
      <c r="H18" s="415" t="str">
        <f t="shared" si="0"/>
        <v>Esp. en Alta Gerencia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05020102</v>
      </c>
      <c r="H19" s="415" t="str">
        <f t="shared" si="0"/>
        <v>Esp. en Alta Gerencia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05020102</v>
      </c>
      <c r="H20" s="415" t="str">
        <f t="shared" si="0"/>
        <v>Esp. en Alta Gerencia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05020102</v>
      </c>
      <c r="H21" s="415" t="str">
        <f t="shared" si="0"/>
        <v>Esp. en Alta Gerencia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05020102</v>
      </c>
      <c r="H22" s="415" t="str">
        <f t="shared" si="0"/>
        <v>Esp. en Alta Gerencia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05020102</v>
      </c>
      <c r="H23" s="415" t="str">
        <f t="shared" si="0"/>
        <v>Esp. en Alta Gerencia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05020102</v>
      </c>
      <c r="H24" s="415" t="str">
        <f t="shared" si="0"/>
        <v>Esp. en Alta Gerencia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05020102</v>
      </c>
      <c r="H25" s="415" t="str">
        <f t="shared" si="0"/>
        <v>Esp. en Alta Gerencia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05020102</v>
      </c>
      <c r="H26" s="415" t="str">
        <f t="shared" si="0"/>
        <v>Esp. en Alta Gerencia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05020102</v>
      </c>
      <c r="H27" s="415" t="str">
        <f t="shared" si="0"/>
        <v>Esp. en Alta Gerencia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05020102</v>
      </c>
      <c r="H28" s="415" t="str">
        <f t="shared" si="0"/>
        <v>Esp. en Alta Gerencia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100000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05020102</v>
      </c>
      <c r="H29" s="415" t="str">
        <f t="shared" si="0"/>
        <v>Esp. en Alta Gerencia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299000</v>
      </c>
      <c r="N29" s="423">
        <f>+SUM(M16:M29)</f>
        <v>103002000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05020102</v>
      </c>
      <c r="H32" s="419" t="str">
        <f>+$H$29</f>
        <v>Esp. en Alta Gerencia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5250000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05020102</v>
      </c>
      <c r="H33" s="419" t="str">
        <f t="shared" ref="H33:H62" si="3">+$H$29</f>
        <v>Esp. en Alta Gerencia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MROUND($H$6*$B$3*65%,1000)</f>
        <v>14298000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05020102</v>
      </c>
      <c r="H34" s="419" t="str">
        <f t="shared" si="3"/>
        <v>Esp. en Alta Gerencia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MROUND($H$6*$B$3*18%,1000)</f>
        <v>3959000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05020102</v>
      </c>
      <c r="H35" s="419" t="str">
        <f t="shared" si="3"/>
        <v>Esp. en Alta Gerencia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MROUND($H$6*$B$3*10%,1000)</f>
        <v>2200000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05020102</v>
      </c>
      <c r="H36" s="419" t="str">
        <f t="shared" si="3"/>
        <v>Esp. en Alta Gerencia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MROUND($H$6*$B$3*4%,1000)</f>
        <v>880000</v>
      </c>
      <c r="N36" t="s">
        <v>1276</v>
      </c>
    </row>
    <row r="37" spans="1:14">
      <c r="G37" t="str">
        <f t="shared" si="2"/>
        <v>05020102</v>
      </c>
      <c r="H37" s="419" t="str">
        <f t="shared" si="3"/>
        <v>Esp. en Alta Gerencia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05020102</v>
      </c>
      <c r="H38" s="419" t="str">
        <f t="shared" si="3"/>
        <v>Esp. en Alta Gerencia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1100000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05020102</v>
      </c>
      <c r="H39" s="419" t="str">
        <f t="shared" si="3"/>
        <v>Esp. en Alta Gerencia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05020102</v>
      </c>
      <c r="H40" s="419" t="str">
        <f t="shared" si="3"/>
        <v>Esp. en Alta Gerencia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+MROUND((H8*3000*3/12*M6),1000)</f>
        <v>68000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05020102</v>
      </c>
      <c r="H41" s="419" t="str">
        <f t="shared" si="3"/>
        <v>Esp. en Alta Gerencia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+MROUND((B7+(B6*1))*H7*50%,1000)</f>
        <v>2768000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05020102</v>
      </c>
      <c r="H42" s="419" t="str">
        <f t="shared" si="3"/>
        <v>Esp. en Alta Gerencia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3150000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05020102</v>
      </c>
      <c r="H43" s="419" t="str">
        <f t="shared" si="3"/>
        <v>Esp. en Alta Gerencia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+MROUND($H$7*$B$5*3%,1000)</f>
        <v>158000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05020102</v>
      </c>
      <c r="H44" s="419" t="str">
        <f t="shared" si="3"/>
        <v>Esp. en Alta Gerencia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1697000</v>
      </c>
    </row>
    <row r="45" spans="1:14">
      <c r="G45" t="str">
        <f t="shared" si="2"/>
        <v>05020102</v>
      </c>
      <c r="H45" s="419" t="str">
        <f t="shared" si="3"/>
        <v>Esp. en Alta Gerencia</v>
      </c>
      <c r="M45" s="394"/>
    </row>
    <row r="46" spans="1:14">
      <c r="G46" t="str">
        <f t="shared" si="2"/>
        <v>05020102</v>
      </c>
      <c r="H46" s="419" t="str">
        <f t="shared" si="3"/>
        <v>Esp. en Alta Gerencia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05020102</v>
      </c>
      <c r="H47" s="419" t="str">
        <f t="shared" si="3"/>
        <v>Esp. en Alta Gerencia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05020102</v>
      </c>
      <c r="H48" s="419" t="str">
        <f t="shared" si="3"/>
        <v>Esp. en Alta Gerencia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05020102</v>
      </c>
      <c r="H49" s="419" t="str">
        <f t="shared" si="3"/>
        <v>Esp. en Alta Gerencia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05020102</v>
      </c>
      <c r="H50" s="419" t="str">
        <f t="shared" si="3"/>
        <v>Esp. en Alta Gerencia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05020102</v>
      </c>
      <c r="H51" s="419" t="str">
        <f t="shared" si="3"/>
        <v>Esp. en Alta Gerencia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05020102</v>
      </c>
      <c r="H52" s="419" t="str">
        <f t="shared" si="3"/>
        <v>Esp. en Alta Gerencia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05020102</v>
      </c>
      <c r="H53" s="419" t="str">
        <f t="shared" si="3"/>
        <v>Esp. en Alta Gerencia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05020102</v>
      </c>
      <c r="H54" s="419" t="str">
        <f t="shared" si="3"/>
        <v>Esp. en Alta Gerencia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05020102</v>
      </c>
      <c r="H55" s="419" t="str">
        <f t="shared" si="3"/>
        <v>Esp. en Alta Gerencia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05020102</v>
      </c>
      <c r="H56" s="419" t="str">
        <f t="shared" si="3"/>
        <v>Esp. en Alta Gerencia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05020102</v>
      </c>
      <c r="H57" s="419" t="str">
        <f t="shared" si="3"/>
        <v>Esp. en Alta Gerencia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05020102</v>
      </c>
      <c r="H58" s="419" t="str">
        <f t="shared" si="3"/>
        <v>Esp. en Alta Gerencia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05020102</v>
      </c>
      <c r="H59" s="419" t="str">
        <f t="shared" si="3"/>
        <v>Esp. en Alta Gerencia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383000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05020102</v>
      </c>
      <c r="H60" s="419" t="str">
        <f t="shared" si="3"/>
        <v>Esp. en Alta Gerencia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3078000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05020102</v>
      </c>
      <c r="H61" s="419" t="str">
        <f t="shared" si="3"/>
        <v>Esp. en Alta Gerencia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05020102</v>
      </c>
      <c r="H62" s="419" t="str">
        <f t="shared" si="3"/>
        <v>Esp. en Alta Gerencia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38989000</v>
      </c>
    </row>
    <row r="64" spans="1:14">
      <c r="N64" s="424">
        <f>+N29-N62</f>
        <v>64013000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7738B1-8D48-4AD3-9343-0AAED0F48EF4}">
  <ds:schemaRefs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TOTAL</vt:lpstr>
      <vt:lpstr>INGRESOS</vt:lpstr>
      <vt:lpstr>GASTOS MAS INVERSIONES</vt:lpstr>
      <vt:lpstr>Listas</vt:lpstr>
      <vt:lpstr>PUC</vt:lpstr>
      <vt:lpstr>Total Presupuesto</vt:lpstr>
      <vt:lpstr>Nueva 66</vt:lpstr>
      <vt:lpstr>Nueva 67</vt:lpstr>
      <vt:lpstr>Nueva 68</vt:lpstr>
      <vt:lpstr>Nueva 4</vt:lpstr>
      <vt:lpstr>Continua 63</vt:lpstr>
      <vt:lpstr>Continua 64</vt:lpstr>
      <vt:lpstr>Continua 65</vt:lpstr>
      <vt:lpstr>Continua 4</vt:lpstr>
      <vt:lpstr>Resumen</vt:lpstr>
      <vt:lpstr>Informe de compatibilidad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ALONSO VELEZ M</cp:lastModifiedBy>
  <cp:lastPrinted>2019-05-24T21:08:40Z</cp:lastPrinted>
  <dcterms:created xsi:type="dcterms:W3CDTF">2017-07-10T19:52:01Z</dcterms:created>
  <dcterms:modified xsi:type="dcterms:W3CDTF">2020-02-14T16:34:40Z</dcterms:modified>
</cp:coreProperties>
</file>